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4" activeTab="0"/>
  </bookViews>
  <sheets>
    <sheet name="Servente-Encarregado-Jauzeiro" sheetId="1" r:id="rId1"/>
    <sheet name="Consolidado" sheetId="2" r:id="rId2"/>
  </sheets>
  <definedNames>
    <definedName name="_xlnm.Print_Area" localSheetId="0">'Servente-Encarregado-Jauzeiro'!$E$46:$J$62</definedName>
    <definedName name="Excel_BuiltIn_Print_Area_1">#REF!</definedName>
    <definedName name="Excel_BuiltIn_Print_Area_2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6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B189" authorId="0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  <comment ref="C5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0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48" authorId="0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53" authorId="0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54" authorId="0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59" authorId="0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173" authorId="0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186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187" authorId="0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</commentList>
</comments>
</file>

<file path=xl/sharedStrings.xml><?xml version="1.0" encoding="utf-8"?>
<sst xmlns="http://schemas.openxmlformats.org/spreadsheetml/2006/main" count="273" uniqueCount="145">
  <si>
    <t>%</t>
  </si>
  <si>
    <t>ENTRADA DE DADOS</t>
  </si>
  <si>
    <t xml:space="preserve">ISSQN - </t>
  </si>
  <si>
    <t>REMUNERAÇÃO CONFORME ACORDO COLETIVO DA CATEGORIA</t>
  </si>
  <si>
    <t>Áreas reais da unidade (em M²)</t>
  </si>
  <si>
    <t>DATA BASE DA CATEGORIA(dia/mês/ano):_____/______/______</t>
  </si>
  <si>
    <t>Tipos de Áreas</t>
  </si>
  <si>
    <t>Edifício Sede</t>
  </si>
  <si>
    <t>TOTAL</t>
  </si>
  <si>
    <r>
      <t xml:space="preserve">Salário do </t>
    </r>
    <r>
      <rPr>
        <sz val="10"/>
        <color indexed="25"/>
        <rFont val="Arial"/>
        <family val="2"/>
      </rPr>
      <t>servente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(1)</t>
    </r>
  </si>
  <si>
    <r>
      <t xml:space="preserve">área interna </t>
    </r>
    <r>
      <rPr>
        <b/>
        <sz val="8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</si>
  <si>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(2)</t>
    </r>
  </si>
  <si>
    <r>
      <t xml:space="preserve">área externa </t>
    </r>
    <r>
      <rPr>
        <b/>
        <sz val="8"/>
        <rFont val="Arial"/>
        <family val="2"/>
      </rPr>
      <t>(1)</t>
    </r>
  </si>
  <si>
    <r>
      <t xml:space="preserve">Informar o percentual do adicional periculosidade   </t>
    </r>
    <r>
      <rPr>
        <b/>
        <sz val="10"/>
        <rFont val="Arial"/>
        <family val="2"/>
      </rPr>
      <t>(2)</t>
    </r>
  </si>
  <si>
    <t>esquadria envidraçada (face externa) (1)</t>
  </si>
  <si>
    <t>esquadria envidraçada (face interna) (1)</t>
  </si>
  <si>
    <t>INSUMOS DE MÃO-DE-OBRA</t>
  </si>
  <si>
    <r>
      <t xml:space="preserve">área médico hospitalar </t>
    </r>
    <r>
      <rPr>
        <b/>
        <sz val="8"/>
        <rFont val="Arial"/>
        <family val="2"/>
      </rPr>
      <t>(1)</t>
    </r>
  </si>
  <si>
    <r>
      <t>Valor do uniforme</t>
    </r>
    <r>
      <rPr>
        <b/>
        <sz val="10"/>
        <rFont val="Arial"/>
        <family val="2"/>
      </rPr>
      <t xml:space="preserve"> (3)</t>
    </r>
  </si>
  <si>
    <r>
      <t xml:space="preserve">Valor do vale transporte </t>
    </r>
    <r>
      <rPr>
        <b/>
        <sz val="10"/>
        <rFont val="Arial"/>
        <family val="2"/>
      </rPr>
      <t>(4)</t>
    </r>
  </si>
  <si>
    <r>
      <t>Observações:</t>
    </r>
    <r>
      <rPr>
        <sz val="10"/>
        <rFont val="Arial"/>
        <family val="2"/>
      </rPr>
      <t xml:space="preserve"> </t>
    </r>
  </si>
  <si>
    <r>
      <t xml:space="preserve">Valor do auxílio-alimentação </t>
    </r>
    <r>
      <rPr>
        <b/>
        <sz val="10"/>
        <rFont val="Arial"/>
        <family val="2"/>
      </rPr>
      <t>(5)</t>
    </r>
  </si>
  <si>
    <r>
      <t>(1)</t>
    </r>
    <r>
      <rPr>
        <sz val="10"/>
        <rFont val="Arial"/>
        <family val="2"/>
      </rPr>
      <t xml:space="preserve"> Informar as metragens reais da unidade de acordo com os tipos de áreas existentes, incluindo PRMs/PTMs conforme abrangência da </t>
    </r>
  </si>
  <si>
    <r>
      <t xml:space="preserve">Valor da assistência médica-odontológica </t>
    </r>
    <r>
      <rPr>
        <b/>
        <sz val="10"/>
        <rFont val="Arial"/>
        <family val="2"/>
      </rPr>
      <t>(6)</t>
    </r>
  </si>
  <si>
    <t>licitação/contratação.</t>
  </si>
  <si>
    <r>
      <t xml:space="preserve">Outros custos por funcionário (especificar) </t>
    </r>
    <r>
      <rPr>
        <b/>
        <sz val="10"/>
        <rFont val="Arial"/>
        <family val="2"/>
      </rPr>
      <t>(7)</t>
    </r>
  </si>
  <si>
    <t xml:space="preserve">Preço do homem-mês : </t>
  </si>
  <si>
    <t>INSUMOS DIVERSOS</t>
  </si>
  <si>
    <t>servente</t>
  </si>
  <si>
    <r>
      <t>Fornecimento de material de limpeza</t>
    </r>
    <r>
      <rPr>
        <b/>
        <sz val="10"/>
        <rFont val="Arial"/>
        <family val="2"/>
      </rPr>
      <t xml:space="preserve">   (8)</t>
    </r>
  </si>
  <si>
    <t>encarregado</t>
  </si>
  <si>
    <t>TRIBUTOS</t>
  </si>
  <si>
    <t>jauzeiro</t>
  </si>
  <si>
    <r>
      <t xml:space="preserve">Informar o percentual do ISSQN do município   </t>
    </r>
    <r>
      <rPr>
        <b/>
        <sz val="10"/>
        <rFont val="Arial"/>
        <family val="2"/>
      </rPr>
      <t>(11)</t>
    </r>
  </si>
  <si>
    <t>ANEXO III-F da IN/SLTI nº 2/2008 alterada.</t>
  </si>
  <si>
    <t>(Produtivades mínimas do art. 44, considerando os parâmetros do anexo V da IN/SLTI)</t>
  </si>
  <si>
    <t>PLANILHA DE CUSTOS</t>
  </si>
  <si>
    <t>Tipo de área</t>
  </si>
  <si>
    <r>
      <t xml:space="preserve">Produtividade ( I )
(1/m²) </t>
    </r>
    <r>
      <rPr>
        <b/>
        <sz val="8"/>
        <rFont val="Arial"/>
        <family val="2"/>
      </rPr>
      <t>(1)</t>
    </r>
  </si>
  <si>
    <t>Preço do homem-mês ( II )</t>
  </si>
  <si>
    <t>Subtotal (R$/m²)
( I ) x ( II )</t>
  </si>
  <si>
    <r>
      <t xml:space="preserve">Serviços de Limpeza e Conservação - </t>
    </r>
    <r>
      <rPr>
        <b/>
        <sz val="12"/>
        <color indexed="25"/>
        <rFont val="Arial"/>
        <family val="2"/>
      </rPr>
      <t>Servente</t>
    </r>
  </si>
  <si>
    <t>área interna</t>
  </si>
  <si>
    <t>em R$</t>
  </si>
  <si>
    <t xml:space="preserve">servente </t>
  </si>
  <si>
    <t>Descrição do Item</t>
  </si>
  <si>
    <t>Custo</t>
  </si>
  <si>
    <t>preço por m² total - área interna</t>
  </si>
  <si>
    <t>Montante A (mão-de-obra)</t>
  </si>
  <si>
    <t>área externa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</si>
  <si>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</si>
  <si>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</si>
  <si>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</si>
  <si>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t>preço por m² total - área externa</t>
  </si>
  <si>
    <r>
      <t xml:space="preserve">Encargos Sociais – </t>
    </r>
    <r>
      <rPr>
        <sz val="10"/>
        <color indexed="25"/>
        <rFont val="Arial"/>
        <family val="2"/>
      </rPr>
      <t>Até 72,11%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(9)</t>
    </r>
  </si>
  <si>
    <t>área médico hospitalar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</si>
  <si>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</si>
  <si>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</si>
  <si>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</si>
  <si>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preço por m² total - área médico hospitalar</t>
  </si>
  <si>
    <t>Valor do vale transporte</t>
  </si>
  <si>
    <t>Valor do auxílio alimentação</t>
  </si>
  <si>
    <r>
      <t xml:space="preserve">Frequência mês/semestre ( II )
 (em horas) </t>
    </r>
    <r>
      <rPr>
        <b/>
        <sz val="8"/>
        <rFont val="Arial"/>
        <family val="2"/>
      </rPr>
      <t>(2)</t>
    </r>
  </si>
  <si>
    <t>Jornada no Mês ( III )
(em horas)</t>
  </si>
  <si>
    <t>Coeficiente (ki)
( I )x( II )x( III )=( IV )</t>
  </si>
  <si>
    <t>Preço do homem-mês ( V )</t>
  </si>
  <si>
    <t>Subtotal(R$/m²)
( IV )x( V )</t>
  </si>
  <si>
    <t>Valor da assistência médica-odontológica</t>
  </si>
  <si>
    <t>Valor de outros custos por funcionário (especificar)</t>
  </si>
  <si>
    <t>esquadria envidraçada (face interna)</t>
  </si>
  <si>
    <t>Total dos Insumos de Mão-de-Obra</t>
  </si>
  <si>
    <t>Insumos Diversos</t>
  </si>
  <si>
    <t>Fornecimento de material de limpeza</t>
  </si>
  <si>
    <t>preço por m² total - esquadria externa</t>
  </si>
  <si>
    <t>Total de Insumos Diversos</t>
  </si>
  <si>
    <t>esquadria envidraçada (face externa)</t>
  </si>
  <si>
    <t>Demais Componentes</t>
  </si>
  <si>
    <r>
      <t xml:space="preserve">Taxa de Administração – </t>
    </r>
    <r>
      <rPr>
        <sz val="10"/>
        <color indexed="25"/>
        <rFont val="Arial"/>
        <family val="2"/>
      </rPr>
      <t>Até 5,31%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incidente sobre o somatório do Montante A e Insumos</t>
    </r>
    <r>
      <rPr>
        <b/>
        <sz val="10"/>
        <rFont val="Arial"/>
        <family val="2"/>
      </rPr>
      <t xml:space="preserve"> (10)</t>
    </r>
  </si>
  <si>
    <r>
      <t xml:space="preserve">Lucro – </t>
    </r>
    <r>
      <rPr>
        <sz val="10"/>
        <color indexed="25"/>
        <rFont val="Arial"/>
        <family val="2"/>
      </rPr>
      <t>Até 7,2%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</si>
  <si>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preço por m² total - fachada envidraçada</t>
  </si>
  <si>
    <t>Total dos Demais Componentes</t>
  </si>
  <si>
    <t>Tributos (11)</t>
  </si>
  <si>
    <t>Valor Mensal dos Serviços (Considerando todas os edifícios - Prédio-Sede, anexos, PTMs)</t>
  </si>
  <si>
    <t xml:space="preserve">PIS - 0,65% </t>
  </si>
  <si>
    <t xml:space="preserve">Preço por m² mensal
 (R$/m²) </t>
  </si>
  <si>
    <t>Área (m²)</t>
  </si>
  <si>
    <t>Limite por tipo de 
área(R$)</t>
  </si>
  <si>
    <t>COFINS - 3%</t>
  </si>
  <si>
    <t xml:space="preserve"> %</t>
  </si>
  <si>
    <t>Total dos Tributos (sobre o faturamento)</t>
  </si>
  <si>
    <t>Total do Montante B</t>
  </si>
  <si>
    <t>Faturamento = preço unitário por empregado (montante A + montante B)</t>
  </si>
  <si>
    <t>FATOR K</t>
  </si>
  <si>
    <t>Limite Máximo Mensal Contratação (R$)</t>
  </si>
  <si>
    <t>Limite Máximo Anual Contratação (R$)</t>
  </si>
  <si>
    <r>
      <t>Observações:</t>
    </r>
    <r>
      <rPr>
        <sz val="10"/>
        <rFont val="Arial"/>
        <family val="2"/>
      </rPr>
      <t xml:space="preserve"> A planilha está concebida para efetuar automaticamente os cálculos finais, com a alimentação </t>
    </r>
  </si>
  <si>
    <t>Observações:</t>
  </si>
  <si>
    <t xml:space="preserve">                      dos valores individuais.</t>
  </si>
  <si>
    <r>
      <t>(1)</t>
    </r>
    <r>
      <rPr>
        <sz val="10"/>
        <rFont val="Arial"/>
        <family val="2"/>
      </rPr>
      <t xml:space="preserve"> Produtividades mínimas determinadas no art.44 da IN/SLTI nº 2/2008 alterada.</t>
    </r>
  </si>
  <si>
    <r>
      <t>(1</t>
    </r>
    <r>
      <rPr>
        <sz val="10"/>
        <rFont val="Arial"/>
        <family val="2"/>
      </rPr>
      <t xml:space="preserve">) Informar o valor do salário base da categoria, relativamente a um empregado.     </t>
    </r>
  </si>
  <si>
    <r>
      <t>(1)</t>
    </r>
    <r>
      <rPr>
        <sz val="10"/>
        <rFont val="Arial"/>
        <family val="2"/>
      </rPr>
      <t xml:space="preserve"> A produtividade do encarregado é apurada com base na relação entre serventes e encarregados apontada no §1º do art. 44 da IN/SLTI nº 2/2008</t>
    </r>
  </si>
  <si>
    <r>
      <t>(2)</t>
    </r>
    <r>
      <rPr>
        <sz val="10"/>
        <rFont val="Arial"/>
        <family val="2"/>
      </rPr>
      <t xml:space="preserve"> Informar o percentual à título de periculosidade e/ou insalubridade somente quanto previsto na convenção coletiva de trabalho.</t>
    </r>
  </si>
  <si>
    <t xml:space="preserve"> alterada, caso seja modificada estes valores das planilhas deverão ser adequados à nova situação, bem como os coeficientes deles decorrentes (Ki).</t>
  </si>
  <si>
    <r>
      <t xml:space="preserve">(3) </t>
    </r>
    <r>
      <rPr>
        <sz val="10"/>
        <rFont val="Arial"/>
        <family val="2"/>
      </rPr>
      <t>Valor médio nacional dos contratos no âmbito do MPU. Foi considerado o fornecimento de 2 conjuntos por semestre.</t>
    </r>
  </si>
  <si>
    <r>
      <t xml:space="preserve">(2) </t>
    </r>
    <r>
      <rPr>
        <sz val="10"/>
        <rFont val="Arial"/>
        <family val="2"/>
      </rPr>
      <t>Freqüência sugerida em horas por mês, no caso da área de esquadrias externas, e horas por semestre, no caso da área de fachaçada envridraçada.</t>
    </r>
  </si>
  <si>
    <r>
      <t>(4)</t>
    </r>
    <r>
      <rPr>
        <sz val="10"/>
        <rFont val="Arial"/>
        <family val="2"/>
      </rPr>
      <t xml:space="preserve"> Informar o valor correspondente ao custo diário das passagens para os dias trabalhados.</t>
    </r>
  </si>
  <si>
    <t xml:space="preserve"> Caso a freqüência adotada, em horas, por mês ou semestre, seja diferente, estes valores deverão ser adequados à nova situação, bem como os </t>
  </si>
  <si>
    <r>
      <t>(5)</t>
    </r>
    <r>
      <rPr>
        <sz val="10"/>
        <rFont val="Arial"/>
        <family val="2"/>
      </rPr>
      <t xml:space="preserve"> Informar o valor de cada benefício previsto no acordo coletivo da categoria.</t>
    </r>
  </si>
  <si>
    <t xml:space="preserve">coeficientes delas decorrentes (Ki). </t>
  </si>
  <si>
    <r>
      <t>(6)</t>
    </r>
    <r>
      <rPr>
        <sz val="10"/>
        <rFont val="Arial"/>
        <family val="2"/>
      </rPr>
      <t xml:space="preserve"> Informar o valor previsto na convenção coletiva de trabalho.</t>
    </r>
  </si>
  <si>
    <r>
      <t xml:space="preserve">(7) </t>
    </r>
    <r>
      <rPr>
        <sz val="10"/>
        <rFont val="Arial"/>
        <family val="2"/>
      </rPr>
      <t>Inserir o valor de outros insumos, desde que constem do projeto básico ou da convenção coletiva de trabalho.</t>
    </r>
  </si>
  <si>
    <r>
      <t xml:space="preserve">(8) </t>
    </r>
    <r>
      <rPr>
        <sz val="10"/>
        <rFont val="Arial"/>
        <family val="2"/>
      </rPr>
      <t>Valor médio nacional dos contratos no âmbito do MPU, inclusive depreciação de equipamentos.</t>
    </r>
  </si>
  <si>
    <r>
      <t xml:space="preserve">(9) </t>
    </r>
    <r>
      <rPr>
        <sz val="10"/>
        <rFont val="Arial"/>
        <family val="2"/>
      </rPr>
      <t>Percentual definido em estudo realizado pela SCI/STF e adotado pela AUDIN/MPU</t>
    </r>
  </si>
  <si>
    <r>
      <t>(10)</t>
    </r>
    <r>
      <rPr>
        <sz val="10"/>
        <rFont val="Arial"/>
        <family val="2"/>
      </rPr>
      <t xml:space="preserve"> Percentuais definidos em estudo realizado pela Casa Civil do Estado de São Paulo e adotado pela AUDIN/MPU.</t>
    </r>
  </si>
  <si>
    <r>
      <t>(11)</t>
    </r>
    <r>
      <rPr>
        <sz val="10"/>
        <rFont val="Arial"/>
        <family val="2"/>
      </rPr>
      <t xml:space="preserve"> Informar os percentuais correspondentes às alíquotas de retenção previstas nas IN SRF nºs 480/2004, alterada pela</t>
    </r>
  </si>
  <si>
    <t xml:space="preserve">      de nº 539, de 25/04/2005, excluídos o IRPJ e a CSLL por força do Acórdão TCU nº 950/2007 – Plenário.</t>
  </si>
  <si>
    <t xml:space="preserve">     Quanto ao ISSQN utilizar a alíquota prevista na legislação municipal onde os serviços serão prestados.</t>
  </si>
  <si>
    <r>
      <t xml:space="preserve">Salário do </t>
    </r>
    <r>
      <rPr>
        <sz val="10"/>
        <color indexed="25"/>
        <rFont val="Arial"/>
        <family val="2"/>
      </rPr>
      <t>Encarregado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(1)</t>
    </r>
  </si>
  <si>
    <r>
      <t>Informar o percentual do adicional de insalubridade</t>
    </r>
    <r>
      <rPr>
        <b/>
        <sz val="10"/>
        <color indexed="8"/>
        <rFont val="Arial"/>
        <family val="2"/>
      </rPr>
      <t xml:space="preserve">   (2)</t>
    </r>
  </si>
  <si>
    <r>
      <t xml:space="preserve">Informar o percentual do adicional periculosidade   </t>
    </r>
    <r>
      <rPr>
        <b/>
        <sz val="10"/>
        <color indexed="8"/>
        <rFont val="Arial"/>
        <family val="2"/>
      </rPr>
      <t>(2)</t>
    </r>
  </si>
  <si>
    <r>
      <t xml:space="preserve">Quantidade de empregados </t>
    </r>
    <r>
      <rPr>
        <b/>
        <sz val="10"/>
        <color indexed="8"/>
        <rFont val="Arial"/>
        <family val="2"/>
      </rPr>
      <t>(3)</t>
    </r>
  </si>
  <si>
    <r>
      <t>Valor do uniforme</t>
    </r>
    <r>
      <rPr>
        <b/>
        <sz val="10"/>
        <color indexed="8"/>
        <rFont val="Arial"/>
        <family val="2"/>
      </rPr>
      <t xml:space="preserve"> (4)</t>
    </r>
  </si>
  <si>
    <r>
      <t xml:space="preserve">Valor do vale transporte </t>
    </r>
    <r>
      <rPr>
        <b/>
        <sz val="10"/>
        <color indexed="8"/>
        <rFont val="Arial"/>
        <family val="2"/>
      </rPr>
      <t>(5)</t>
    </r>
  </si>
  <si>
    <r>
      <t xml:space="preserve">Valor do auxílio-alimentação </t>
    </r>
    <r>
      <rPr>
        <b/>
        <sz val="10"/>
        <color indexed="8"/>
        <rFont val="Arial"/>
        <family val="2"/>
      </rPr>
      <t>(6)</t>
    </r>
  </si>
  <si>
    <r>
      <t xml:space="preserve">Valor da assistência médica-odontológica </t>
    </r>
    <r>
      <rPr>
        <b/>
        <sz val="10"/>
        <color indexed="8"/>
        <rFont val="Arial"/>
        <family val="2"/>
      </rPr>
      <t>(7)</t>
    </r>
  </si>
  <si>
    <r>
      <t xml:space="preserve">Outros custos por funcionário (especificar) </t>
    </r>
    <r>
      <rPr>
        <b/>
        <sz val="10"/>
        <color indexed="8"/>
        <rFont val="Arial"/>
        <family val="2"/>
      </rPr>
      <t>(8)</t>
    </r>
  </si>
  <si>
    <r>
      <t>Fornecimento de material</t>
    </r>
    <r>
      <rPr>
        <b/>
        <sz val="10"/>
        <rFont val="Arial"/>
        <family val="2"/>
      </rPr>
      <t xml:space="preserve"> (9)</t>
    </r>
  </si>
  <si>
    <r>
      <t xml:space="preserve">Informar o percentual do ISSQN do município   </t>
    </r>
    <r>
      <rPr>
        <b/>
        <sz val="10"/>
        <color indexed="8"/>
        <rFont val="Arial"/>
        <family val="2"/>
      </rPr>
      <t>(11)</t>
    </r>
  </si>
  <si>
    <r>
      <t xml:space="preserve">Serviços de Limpeza e Conservação - </t>
    </r>
    <r>
      <rPr>
        <b/>
        <sz val="12"/>
        <color indexed="25"/>
        <rFont val="Arial"/>
        <family val="2"/>
      </rPr>
      <t>Encarregado</t>
    </r>
  </si>
  <si>
    <r>
      <t xml:space="preserve">Encargos Sociais – </t>
    </r>
    <r>
      <rPr>
        <sz val="10"/>
        <color indexed="25"/>
        <rFont val="Arial"/>
        <family val="2"/>
      </rPr>
      <t>Até 72,11%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(9)</t>
    </r>
  </si>
  <si>
    <r>
      <t xml:space="preserve">Taxa de Administração – </t>
    </r>
    <r>
      <rPr>
        <sz val="10"/>
        <color indexed="25"/>
        <rFont val="Arial"/>
        <family val="2"/>
      </rPr>
      <t>Até 5,31%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incidente sobre o somatório do Montante A e Insumos</t>
    </r>
    <r>
      <rPr>
        <b/>
        <sz val="10"/>
        <color indexed="8"/>
        <rFont val="Arial"/>
        <family val="2"/>
      </rPr>
      <t xml:space="preserve"> (10)</t>
    </r>
  </si>
  <si>
    <r>
      <t>Lucro –</t>
    </r>
    <r>
      <rPr>
        <sz val="10"/>
        <color indexed="25"/>
        <rFont val="Arial"/>
        <family val="2"/>
      </rPr>
      <t xml:space="preserve"> Até 7,2%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incidente sobre o Montante A, Insumos e a Taxa de Administração </t>
    </r>
    <r>
      <rPr>
        <b/>
        <sz val="10"/>
        <color indexed="8"/>
        <rFont val="Arial"/>
        <family val="2"/>
      </rPr>
      <t>(10)</t>
    </r>
  </si>
  <si>
    <r>
      <t xml:space="preserve">Salário do </t>
    </r>
    <r>
      <rPr>
        <sz val="10"/>
        <color indexed="25"/>
        <rFont val="Arial"/>
        <family val="2"/>
      </rPr>
      <t>jauzeiro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(1)</t>
    </r>
  </si>
  <si>
    <r>
      <t xml:space="preserve">Serviços de Limpeza e Conservação – </t>
    </r>
    <r>
      <rPr>
        <b/>
        <sz val="12"/>
        <color indexed="25"/>
        <rFont val="Arial"/>
        <family val="2"/>
      </rPr>
      <t>Jauzeiro</t>
    </r>
  </si>
  <si>
    <t>Itens</t>
  </si>
  <si>
    <t>Postos</t>
  </si>
  <si>
    <t>Qtde de Postos</t>
  </si>
  <si>
    <t>Valor Unitário (R$)</t>
  </si>
  <si>
    <t>Valor Total (R$)</t>
  </si>
  <si>
    <t>Encarregado Geral</t>
  </si>
  <si>
    <t>Servente</t>
  </si>
  <si>
    <t>Jauzeiro</t>
  </si>
  <si>
    <t>TOTAL MENSAL</t>
  </si>
  <si>
    <t>-</t>
  </si>
  <si>
    <t>TOTAL ANUAL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</si>
</sst>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"/>
    <numFmt numFmtId="166" formatCode="_(* #,##0.00_);_(* \(#,##0.00\);_(* \-??_);_(@_)"/>
    <numFmt numFmtId="167" formatCode="#,##0"/>
    <numFmt numFmtId="168" formatCode="#,##0.00;\-#,##0.00"/>
    <numFmt numFmtId="169" formatCode="0_);\(0\)"/>
    <numFmt numFmtId="170" formatCode="0.00000000"/>
    <numFmt numFmtId="171" formatCode="_(* #,##0_);_(* \(#,##0\);_(* \-??_);_(@_)"/>
    <numFmt numFmtId="172" formatCode="0.00"/>
    <numFmt numFmtId="173" formatCode="[$R$-416]\ #,##0.00;\-[$R$-416]\ #,##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8">
    <xf numFmtId="164" fontId="0" fillId="0" borderId="0" xfId="0" applyAlignment="1">
      <alignment/>
    </xf>
    <xf numFmtId="164" fontId="18" fillId="24" borderId="0" xfId="0" applyFont="1" applyFill="1" applyAlignment="1">
      <alignment/>
    </xf>
    <xf numFmtId="164" fontId="19" fillId="18" borderId="10" xfId="0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Border="1" applyAlignment="1" applyProtection="1">
      <alignment horizontal="center"/>
      <protection locked="0"/>
    </xf>
    <xf numFmtId="164" fontId="19" fillId="0" borderId="11" xfId="0" applyFont="1" applyBorder="1" applyAlignment="1">
      <alignment vertical="center"/>
    </xf>
    <xf numFmtId="164" fontId="0" fillId="0" borderId="0" xfId="0" applyBorder="1" applyAlignment="1">
      <alignment/>
    </xf>
    <xf numFmtId="164" fontId="18" fillId="24" borderId="0" xfId="0" applyFont="1" applyFill="1" applyBorder="1" applyAlignment="1">
      <alignment/>
    </xf>
    <xf numFmtId="164" fontId="18" fillId="24" borderId="12" xfId="0" applyFont="1" applyFill="1" applyBorder="1" applyAlignment="1">
      <alignment/>
    </xf>
    <xf numFmtId="164" fontId="19" fillId="6" borderId="10" xfId="0" applyFont="1" applyFill="1" applyBorder="1" applyAlignment="1">
      <alignment horizontal="center" vertical="center"/>
    </xf>
    <xf numFmtId="164" fontId="0" fillId="0" borderId="10" xfId="0" applyFon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 horizontal="center" vertical="top" wrapText="1"/>
      <protection locked="0"/>
    </xf>
    <xf numFmtId="164" fontId="19" fillId="16" borderId="14" xfId="0" applyFont="1" applyFill="1" applyBorder="1" applyAlignment="1">
      <alignment vertical="center"/>
    </xf>
    <xf numFmtId="166" fontId="0" fillId="0" borderId="14" xfId="15" applyFont="1" applyFill="1" applyBorder="1" applyAlignment="1" applyProtection="1">
      <alignment/>
      <protection/>
    </xf>
    <xf numFmtId="166" fontId="0" fillId="0" borderId="14" xfId="0" applyNumberFormat="1" applyBorder="1" applyAlignment="1">
      <alignment/>
    </xf>
    <xf numFmtId="167" fontId="0" fillId="0" borderId="10" xfId="0" applyNumberFormat="1" applyFont="1" applyBorder="1" applyAlignment="1" applyProtection="1">
      <alignment horizontal="center"/>
      <protection locked="0"/>
    </xf>
    <xf numFmtId="164" fontId="19" fillId="16" borderId="10" xfId="0" applyFont="1" applyFill="1" applyBorder="1" applyAlignment="1">
      <alignment vertical="center"/>
    </xf>
    <xf numFmtId="166" fontId="0" fillId="0" borderId="10" xfId="15" applyFont="1" applyFill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4" fontId="19" fillId="0" borderId="15" xfId="0" applyFont="1" applyBorder="1" applyAlignment="1" applyProtection="1">
      <alignment horizontal="center"/>
      <protection locked="0"/>
    </xf>
    <xf numFmtId="164" fontId="0" fillId="0" borderId="10" xfId="0" applyFont="1" applyBorder="1" applyAlignment="1" applyProtection="1">
      <alignment vertical="center" wrapText="1"/>
      <protection locked="0"/>
    </xf>
    <xf numFmtId="165" fontId="0" fillId="0" borderId="16" xfId="0" applyNumberFormat="1" applyFont="1" applyBorder="1" applyAlignment="1" applyProtection="1">
      <alignment horizontal="center"/>
      <protection locked="0"/>
    </xf>
    <xf numFmtId="164" fontId="0" fillId="24" borderId="0" xfId="0" applyFill="1" applyAlignment="1">
      <alignment/>
    </xf>
    <xf numFmtId="164" fontId="0" fillId="0" borderId="14" xfId="0" applyFont="1" applyBorder="1" applyAlignment="1" applyProtection="1">
      <alignment/>
      <protection locked="0"/>
    </xf>
    <xf numFmtId="168" fontId="0" fillId="0" borderId="14" xfId="0" applyNumberFormat="1" applyFont="1" applyBorder="1" applyAlignment="1" applyProtection="1">
      <alignment horizontal="center"/>
      <protection locked="0"/>
    </xf>
    <xf numFmtId="164" fontId="22" fillId="24" borderId="17" xfId="0" applyFont="1" applyFill="1" applyBorder="1" applyAlignment="1" applyProtection="1">
      <alignment horizontal="left"/>
      <protection/>
    </xf>
    <xf numFmtId="164" fontId="18" fillId="24" borderId="18" xfId="0" applyFont="1" applyFill="1" applyBorder="1" applyAlignment="1">
      <alignment/>
    </xf>
    <xf numFmtId="164" fontId="0" fillId="24" borderId="18" xfId="0" applyFill="1" applyBorder="1" applyAlignment="1">
      <alignment/>
    </xf>
    <xf numFmtId="164" fontId="0" fillId="0" borderId="19" xfId="0" applyBorder="1" applyAlignment="1">
      <alignment/>
    </xf>
    <xf numFmtId="164" fontId="0" fillId="24" borderId="11" xfId="0" applyFill="1" applyBorder="1" applyAlignment="1">
      <alignment/>
    </xf>
    <xf numFmtId="164" fontId="0" fillId="24" borderId="0" xfId="0" applyFill="1" applyBorder="1" applyAlignment="1">
      <alignment/>
    </xf>
    <xf numFmtId="168" fontId="0" fillId="0" borderId="10" xfId="0" applyNumberFormat="1" applyFont="1" applyBorder="1" applyAlignment="1" applyProtection="1">
      <alignment horizontal="center"/>
      <protection locked="0"/>
    </xf>
    <xf numFmtId="164" fontId="19" fillId="24" borderId="11" xfId="0" applyFont="1" applyFill="1" applyBorder="1" applyAlignment="1" applyProtection="1">
      <alignment horizontal="left"/>
      <protection/>
    </xf>
    <xf numFmtId="164" fontId="0" fillId="24" borderId="12" xfId="0" applyFill="1" applyBorder="1" applyAlignment="1">
      <alignment/>
    </xf>
    <xf numFmtId="164" fontId="0" fillId="0" borderId="11" xfId="0" applyBorder="1" applyAlignment="1">
      <alignment/>
    </xf>
    <xf numFmtId="164" fontId="0" fillId="24" borderId="20" xfId="0" applyFont="1" applyFill="1" applyBorder="1" applyAlignment="1" applyProtection="1">
      <alignment horizontal="left"/>
      <protection/>
    </xf>
    <xf numFmtId="164" fontId="0" fillId="24" borderId="21" xfId="0" applyFill="1" applyBorder="1" applyAlignment="1">
      <alignment/>
    </xf>
    <xf numFmtId="164" fontId="0" fillId="24" borderId="13" xfId="0" applyFill="1" applyBorder="1" applyAlignment="1">
      <alignment/>
    </xf>
    <xf numFmtId="164" fontId="19" fillId="0" borderId="0" xfId="0" applyFont="1" applyAlignment="1">
      <alignment/>
    </xf>
    <xf numFmtId="164" fontId="19" fillId="0" borderId="22" xfId="0" applyFont="1" applyBorder="1" applyAlignment="1" applyProtection="1">
      <alignment horizontal="center"/>
      <protection locked="0"/>
    </xf>
    <xf numFmtId="169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24" borderId="0" xfId="0" applyFont="1" applyFill="1" applyBorder="1" applyAlignment="1" applyProtection="1">
      <alignment vertical="center" wrapText="1"/>
      <protection locked="0"/>
    </xf>
    <xf numFmtId="168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4" borderId="0" xfId="0" applyFont="1" applyFill="1" applyAlignment="1" applyProtection="1">
      <alignment/>
      <protection/>
    </xf>
    <xf numFmtId="164" fontId="24" fillId="24" borderId="0" xfId="0" applyFont="1" applyFill="1" applyAlignment="1" applyProtection="1">
      <alignment/>
      <protection/>
    </xf>
    <xf numFmtId="164" fontId="0" fillId="6" borderId="22" xfId="0" applyFont="1" applyFill="1" applyBorder="1" applyAlignment="1">
      <alignment horizontal="center" vertical="center"/>
    </xf>
    <xf numFmtId="164" fontId="0" fillId="6" borderId="22" xfId="0" applyFont="1" applyFill="1" applyBorder="1" applyAlignment="1">
      <alignment horizontal="center" vertical="center" wrapText="1"/>
    </xf>
    <xf numFmtId="164" fontId="24" fillId="24" borderId="0" xfId="0" applyFont="1" applyFill="1" applyAlignment="1" applyProtection="1">
      <alignment horizontal="right"/>
      <protection/>
    </xf>
    <xf numFmtId="164" fontId="19" fillId="16" borderId="10" xfId="0" applyFont="1" applyFill="1" applyBorder="1" applyAlignment="1">
      <alignment/>
    </xf>
    <xf numFmtId="164" fontId="19" fillId="24" borderId="0" xfId="0" applyFont="1" applyFill="1" applyAlignment="1" applyProtection="1">
      <alignment/>
      <protection/>
    </xf>
    <xf numFmtId="164" fontId="0" fillId="16" borderId="14" xfId="0" applyFont="1" applyFill="1" applyBorder="1" applyAlignment="1">
      <alignment vertical="center"/>
    </xf>
    <xf numFmtId="170" fontId="0" fillId="0" borderId="14" xfId="0" applyNumberFormat="1" applyBorder="1" applyAlignment="1">
      <alignment/>
    </xf>
    <xf numFmtId="164" fontId="19" fillId="6" borderId="23" xfId="0" applyFont="1" applyFill="1" applyBorder="1" applyAlignment="1" applyProtection="1">
      <alignment horizontal="center" vertical="center" wrapText="1"/>
      <protection/>
    </xf>
    <xf numFmtId="164" fontId="0" fillId="6" borderId="14" xfId="0" applyFill="1" applyBorder="1" applyAlignment="1">
      <alignment/>
    </xf>
    <xf numFmtId="164" fontId="19" fillId="6" borderId="10" xfId="0" applyFont="1" applyFill="1" applyBorder="1" applyAlignment="1">
      <alignment horizontal="right" vertical="center"/>
    </xf>
    <xf numFmtId="170" fontId="19" fillId="0" borderId="14" xfId="0" applyNumberFormat="1" applyFont="1" applyBorder="1" applyAlignment="1">
      <alignment/>
    </xf>
    <xf numFmtId="164" fontId="19" fillId="0" borderId="23" xfId="0" applyFont="1" applyBorder="1" applyAlignment="1" applyProtection="1">
      <alignment horizontal="center"/>
      <protection/>
    </xf>
    <xf numFmtId="164" fontId="0" fillId="0" borderId="23" xfId="0" applyFont="1" applyBorder="1" applyAlignment="1" applyProtection="1">
      <alignment/>
      <protection/>
    </xf>
    <xf numFmtId="170" fontId="19" fillId="16" borderId="10" xfId="0" applyNumberFormat="1" applyFont="1" applyFill="1" applyBorder="1" applyAlignment="1">
      <alignment/>
    </xf>
    <xf numFmtId="168" fontId="18" fillId="24" borderId="0" xfId="0" applyNumberFormat="1" applyFont="1" applyFill="1" applyAlignment="1" applyProtection="1">
      <alignment/>
      <protection/>
    </xf>
    <xf numFmtId="168" fontId="0" fillId="0" borderId="23" xfId="0" applyNumberFormat="1" applyFont="1" applyBorder="1" applyAlignment="1" applyProtection="1">
      <alignment vertical="center" wrapText="1"/>
      <protection/>
    </xf>
    <xf numFmtId="168" fontId="0" fillId="0" borderId="23" xfId="0" applyNumberFormat="1" applyFont="1" applyBorder="1" applyAlignment="1" applyProtection="1">
      <alignment horizontal="center" vertical="center" wrapText="1"/>
      <protection/>
    </xf>
    <xf numFmtId="170" fontId="0" fillId="0" borderId="10" xfId="0" applyNumberFormat="1" applyBorder="1" applyAlignment="1">
      <alignment/>
    </xf>
    <xf numFmtId="164" fontId="0" fillId="0" borderId="23" xfId="0" applyFont="1" applyBorder="1" applyAlignment="1" applyProtection="1">
      <alignment vertical="center" wrapText="1"/>
      <protection/>
    </xf>
    <xf numFmtId="165" fontId="0" fillId="0" borderId="23" xfId="0" applyNumberFormat="1" applyFont="1" applyBorder="1" applyAlignment="1" applyProtection="1">
      <alignment horizontal="center" vertical="center" wrapText="1"/>
      <protection/>
    </xf>
    <xf numFmtId="164" fontId="19" fillId="16" borderId="23" xfId="0" applyFont="1" applyFill="1" applyBorder="1" applyAlignment="1" applyProtection="1">
      <alignment horizontal="center" vertical="center" wrapText="1"/>
      <protection/>
    </xf>
    <xf numFmtId="165" fontId="19" fillId="16" borderId="23" xfId="0" applyNumberFormat="1" applyFont="1" applyFill="1" applyBorder="1" applyAlignment="1" applyProtection="1">
      <alignment horizontal="center" vertical="center" wrapText="1"/>
      <protection/>
    </xf>
    <xf numFmtId="164" fontId="0" fillId="6" borderId="10" xfId="0" applyFont="1" applyFill="1" applyBorder="1" applyAlignment="1" applyProtection="1">
      <alignment horizontal="center" vertical="center" wrapText="1"/>
      <protection/>
    </xf>
    <xf numFmtId="165" fontId="18" fillId="24" borderId="0" xfId="0" applyNumberFormat="1" applyFont="1" applyFill="1" applyAlignment="1" applyProtection="1">
      <alignment/>
      <protection/>
    </xf>
    <xf numFmtId="164" fontId="19" fillId="16" borderId="14" xfId="0" applyFont="1" applyFill="1" applyBorder="1" applyAlignment="1">
      <alignment/>
    </xf>
    <xf numFmtId="168" fontId="19" fillId="16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10" xfId="0" applyNumberFormat="1" applyBorder="1" applyAlignment="1">
      <alignment horizontal="center"/>
    </xf>
    <xf numFmtId="164" fontId="0" fillId="6" borderId="14" xfId="0" applyFill="1" applyBorder="1" applyAlignment="1">
      <alignment vertical="center"/>
    </xf>
    <xf numFmtId="170" fontId="0" fillId="6" borderId="14" xfId="0" applyNumberFormat="1" applyFill="1" applyBorder="1" applyAlignment="1">
      <alignment/>
    </xf>
    <xf numFmtId="164" fontId="19" fillId="6" borderId="14" xfId="0" applyFont="1" applyFill="1" applyBorder="1" applyAlignment="1">
      <alignment horizontal="right" vertical="center"/>
    </xf>
    <xf numFmtId="170" fontId="19" fillId="16" borderId="14" xfId="0" applyNumberFormat="1" applyFont="1" applyFill="1" applyBorder="1" applyAlignment="1">
      <alignment/>
    </xf>
    <xf numFmtId="164" fontId="19" fillId="16" borderId="14" xfId="0" applyFont="1" applyFill="1" applyBorder="1" applyAlignment="1">
      <alignment horizontal="center"/>
    </xf>
    <xf numFmtId="164" fontId="18" fillId="0" borderId="0" xfId="0" applyFont="1" applyFill="1" applyAlignment="1" applyProtection="1">
      <alignment/>
      <protection/>
    </xf>
    <xf numFmtId="168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Font="1" applyBorder="1" applyAlignment="1" applyProtection="1">
      <alignment horizontal="center" vertical="center" wrapText="1"/>
      <protection/>
    </xf>
    <xf numFmtId="164" fontId="0" fillId="6" borderId="10" xfId="0" applyFont="1" applyFill="1" applyBorder="1" applyAlignment="1">
      <alignment horizontal="center" vertical="center"/>
    </xf>
    <xf numFmtId="164" fontId="0" fillId="6" borderId="10" xfId="0" applyFont="1" applyFill="1" applyBorder="1" applyAlignment="1">
      <alignment horizontal="center" vertical="center" wrapText="1"/>
    </xf>
    <xf numFmtId="164" fontId="26" fillId="24" borderId="0" xfId="0" applyFont="1" applyFill="1" applyAlignment="1" applyProtection="1">
      <alignment/>
      <protection/>
    </xf>
    <xf numFmtId="168" fontId="0" fillId="0" borderId="23" xfId="0" applyNumberFormat="1" applyFont="1" applyBorder="1" applyAlignment="1" applyProtection="1">
      <alignment horizontal="left" vertical="center" wrapText="1"/>
      <protection/>
    </xf>
    <xf numFmtId="172" fontId="19" fillId="0" borderId="14" xfId="0" applyNumberFormat="1" applyFont="1" applyFill="1" applyBorder="1" applyAlignment="1">
      <alignment horizontal="right"/>
    </xf>
    <xf numFmtId="166" fontId="19" fillId="0" borderId="14" xfId="0" applyNumberFormat="1" applyFont="1" applyFill="1" applyBorder="1" applyAlignment="1">
      <alignment horizontal="center"/>
    </xf>
    <xf numFmtId="173" fontId="19" fillId="0" borderId="14" xfId="0" applyNumberFormat="1" applyFont="1" applyFill="1" applyBorder="1" applyAlignment="1">
      <alignment horizontal="right"/>
    </xf>
    <xf numFmtId="166" fontId="0" fillId="24" borderId="0" xfId="0" applyNumberFormat="1" applyFill="1" applyAlignment="1">
      <alignment/>
    </xf>
    <xf numFmtId="164" fontId="0" fillId="16" borderId="23" xfId="0" applyFont="1" applyFill="1" applyBorder="1" applyAlignment="1" applyProtection="1">
      <alignment horizontal="center" vertical="center" wrapText="1"/>
      <protection/>
    </xf>
    <xf numFmtId="168" fontId="0" fillId="16" borderId="23" xfId="0" applyNumberFormat="1" applyFont="1" applyFill="1" applyBorder="1" applyAlignment="1" applyProtection="1">
      <alignment horizontal="center" vertical="center" wrapText="1"/>
      <protection/>
    </xf>
    <xf numFmtId="168" fontId="19" fillId="0" borderId="23" xfId="0" applyNumberFormat="1" applyFont="1" applyBorder="1" applyAlignment="1" applyProtection="1">
      <alignment horizontal="center" vertical="center" wrapText="1"/>
      <protection/>
    </xf>
    <xf numFmtId="173" fontId="19" fillId="0" borderId="10" xfId="0" applyNumberFormat="1" applyFont="1" applyFill="1" applyBorder="1" applyAlignment="1">
      <alignment horizontal="center"/>
    </xf>
    <xf numFmtId="164" fontId="0" fillId="24" borderId="0" xfId="0" applyFont="1" applyFill="1" applyAlignment="1" applyProtection="1">
      <alignment/>
      <protection/>
    </xf>
    <xf numFmtId="164" fontId="23" fillId="24" borderId="0" xfId="0" applyFont="1" applyFill="1" applyAlignment="1" applyProtection="1">
      <alignment/>
      <protection/>
    </xf>
    <xf numFmtId="164" fontId="0" fillId="24" borderId="19" xfId="0" applyFont="1" applyFill="1" applyBorder="1" applyAlignment="1" applyProtection="1">
      <alignment/>
      <protection/>
    </xf>
    <xf numFmtId="164" fontId="0" fillId="24" borderId="0" xfId="0" applyFill="1" applyAlignment="1" applyProtection="1">
      <alignment/>
      <protection/>
    </xf>
    <xf numFmtId="164" fontId="0" fillId="24" borderId="19" xfId="0" applyFill="1" applyBorder="1" applyAlignment="1">
      <alignment/>
    </xf>
    <xf numFmtId="164" fontId="0" fillId="24" borderId="11" xfId="0" applyFont="1" applyFill="1" applyBorder="1" applyAlignment="1" applyProtection="1">
      <alignment horizontal="left"/>
      <protection/>
    </xf>
    <xf numFmtId="164" fontId="0" fillId="24" borderId="12" xfId="0" applyFont="1" applyFill="1" applyBorder="1" applyAlignment="1" applyProtection="1">
      <alignment/>
      <protection/>
    </xf>
    <xf numFmtId="164" fontId="0" fillId="24" borderId="0" xfId="0" applyFill="1" applyBorder="1" applyAlignment="1" applyProtection="1">
      <alignment/>
      <protection/>
    </xf>
    <xf numFmtId="164" fontId="19" fillId="0" borderId="11" xfId="0" applyFont="1" applyBorder="1" applyAlignment="1">
      <alignment/>
    </xf>
    <xf numFmtId="164" fontId="18" fillId="24" borderId="0" xfId="0" applyFont="1" applyFill="1" applyBorder="1" applyAlignment="1" applyProtection="1">
      <alignment/>
      <protection/>
    </xf>
    <xf numFmtId="164" fontId="18" fillId="24" borderId="12" xfId="0" applyFont="1" applyFill="1" applyBorder="1" applyAlignment="1" applyProtection="1">
      <alignment/>
      <protection/>
    </xf>
    <xf numFmtId="164" fontId="19" fillId="24" borderId="11" xfId="0" applyFont="1" applyFill="1" applyBorder="1" applyAlignment="1" applyProtection="1">
      <alignment/>
      <protection/>
    </xf>
    <xf numFmtId="164" fontId="0" fillId="24" borderId="11" xfId="0" applyFont="1" applyFill="1" applyBorder="1" applyAlignment="1" applyProtection="1">
      <alignment/>
      <protection/>
    </xf>
    <xf numFmtId="164" fontId="0" fillId="24" borderId="20" xfId="0" applyFont="1" applyFill="1" applyBorder="1" applyAlignment="1" applyProtection="1">
      <alignment/>
      <protection/>
    </xf>
    <xf numFmtId="164" fontId="18" fillId="24" borderId="21" xfId="0" applyFont="1" applyFill="1" applyBorder="1" applyAlignment="1" applyProtection="1">
      <alignment/>
      <protection/>
    </xf>
    <xf numFmtId="164" fontId="18" fillId="24" borderId="13" xfId="0" applyFont="1" applyFill="1" applyBorder="1" applyAlignment="1" applyProtection="1">
      <alignment/>
      <protection/>
    </xf>
    <xf numFmtId="164" fontId="19" fillId="24" borderId="20" xfId="0" applyFont="1" applyFill="1" applyBorder="1" applyAlignment="1" applyProtection="1">
      <alignment horizontal="left"/>
      <protection/>
    </xf>
    <xf numFmtId="164" fontId="0" fillId="24" borderId="13" xfId="0" applyFont="1" applyFill="1" applyBorder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 wrapText="1"/>
      <protection locked="0"/>
    </xf>
    <xf numFmtId="164" fontId="19" fillId="0" borderId="10" xfId="0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0" fillId="0" borderId="10" xfId="0" applyNumberFormat="1" applyFont="1" applyFill="1" applyBorder="1" applyAlignment="1" applyProtection="1">
      <alignment horizontal="center"/>
      <protection locked="0"/>
    </xf>
    <xf numFmtId="164" fontId="19" fillId="0" borderId="15" xfId="0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 applyProtection="1">
      <alignment vertical="center" wrapText="1"/>
      <protection locked="0"/>
    </xf>
    <xf numFmtId="165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14" xfId="0" applyFont="1" applyFill="1" applyBorder="1" applyAlignment="1" applyProtection="1">
      <alignment/>
      <protection locked="0"/>
    </xf>
    <xf numFmtId="168" fontId="0" fillId="0" borderId="14" xfId="0" applyNumberFormat="1" applyFont="1" applyFill="1" applyBorder="1" applyAlignment="1" applyProtection="1">
      <alignment horizontal="center"/>
      <protection locked="0"/>
    </xf>
    <xf numFmtId="168" fontId="0" fillId="0" borderId="10" xfId="0" applyNumberFormat="1" applyFont="1" applyFill="1" applyBorder="1" applyAlignment="1" applyProtection="1">
      <alignment horizontal="center"/>
      <protection locked="0"/>
    </xf>
    <xf numFmtId="164" fontId="19" fillId="0" borderId="22" xfId="0" applyFont="1" applyFill="1" applyBorder="1" applyAlignment="1" applyProtection="1">
      <alignment horizontal="center"/>
      <protection locked="0"/>
    </xf>
    <xf numFmtId="16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 vertical="center" wrapText="1"/>
      <protection locked="0"/>
    </xf>
    <xf numFmtId="16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 wrapText="1"/>
      <protection locked="0"/>
    </xf>
    <xf numFmtId="168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Font="1" applyFill="1" applyAlignment="1" applyProtection="1">
      <alignment/>
      <protection/>
    </xf>
    <xf numFmtId="164" fontId="24" fillId="0" borderId="0" xfId="0" applyFont="1" applyFill="1" applyAlignment="1" applyProtection="1">
      <alignment horizontal="right"/>
      <protection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4" fontId="19" fillId="0" borderId="24" xfId="0" applyFont="1" applyFill="1" applyBorder="1" applyAlignment="1" applyProtection="1">
      <alignment horizontal="center"/>
      <protection/>
    </xf>
    <xf numFmtId="164" fontId="0" fillId="0" borderId="24" xfId="0" applyFont="1" applyFill="1" applyBorder="1" applyAlignment="1" applyProtection="1">
      <alignment/>
      <protection/>
    </xf>
    <xf numFmtId="168" fontId="0" fillId="0" borderId="25" xfId="0" applyNumberFormat="1" applyFont="1" applyFill="1" applyBorder="1" applyAlignment="1" applyProtection="1">
      <alignment vertical="center" wrapText="1"/>
      <protection/>
    </xf>
    <xf numFmtId="168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5" xfId="0" applyFont="1" applyFill="1" applyBorder="1" applyAlignment="1" applyProtection="1">
      <alignment vertical="center" wrapText="1"/>
      <protection/>
    </xf>
    <xf numFmtId="165" fontId="0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Font="1" applyFill="1" applyBorder="1" applyAlignment="1" applyProtection="1">
      <alignment vertical="center" wrapText="1"/>
      <protection/>
    </xf>
    <xf numFmtId="168" fontId="0" fillId="0" borderId="26" xfId="0" applyNumberFormat="1" applyFont="1" applyFill="1" applyBorder="1" applyAlignment="1" applyProtection="1">
      <alignment horizontal="center" vertic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168" fontId="0" fillId="0" borderId="24" xfId="0" applyNumberFormat="1" applyFont="1" applyFill="1" applyBorder="1" applyAlignment="1" applyProtection="1">
      <alignment horizontal="center" vertical="center" wrapText="1"/>
      <protection/>
    </xf>
    <xf numFmtId="168" fontId="0" fillId="0" borderId="27" xfId="0" applyNumberFormat="1" applyFont="1" applyFill="1" applyBorder="1" applyAlignment="1" applyProtection="1">
      <alignment horizontal="center" vertical="center" wrapText="1"/>
      <protection/>
    </xf>
    <xf numFmtId="168" fontId="19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Font="1" applyFill="1" applyBorder="1" applyAlignment="1" applyProtection="1">
      <alignment horizontal="center"/>
      <protection/>
    </xf>
    <xf numFmtId="164" fontId="0" fillId="0" borderId="22" xfId="0" applyFont="1" applyFill="1" applyBorder="1" applyAlignment="1" applyProtection="1">
      <alignment/>
      <protection/>
    </xf>
    <xf numFmtId="164" fontId="19" fillId="0" borderId="15" xfId="0" applyFont="1" applyFill="1" applyBorder="1" applyAlignment="1" applyProtection="1">
      <alignment horizontal="center" vertical="center" wrapText="1"/>
      <protection/>
    </xf>
    <xf numFmtId="168" fontId="0" fillId="0" borderId="12" xfId="0" applyNumberFormat="1" applyFont="1" applyFill="1" applyBorder="1" applyAlignment="1" applyProtection="1">
      <alignment horizontal="center" vertical="center" wrapText="1"/>
      <protection/>
    </xf>
    <xf numFmtId="168" fontId="19" fillId="0" borderId="19" xfId="0" applyNumberFormat="1" applyFont="1" applyFill="1" applyBorder="1" applyAlignment="1" applyProtection="1">
      <alignment horizontal="center" vertical="center" wrapText="1"/>
      <protection/>
    </xf>
    <xf numFmtId="168" fontId="19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Font="1" applyFill="1" applyBorder="1" applyAlignment="1" applyProtection="1">
      <alignment horizontal="center" vertical="center" wrapText="1"/>
      <protection/>
    </xf>
    <xf numFmtId="168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Font="1" applyFill="1" applyBorder="1" applyAlignment="1" applyProtection="1">
      <alignment vertical="center" wrapText="1"/>
      <protection/>
    </xf>
    <xf numFmtId="168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/>
      <protection/>
    </xf>
    <xf numFmtId="164" fontId="19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24" fillId="25" borderId="28" xfId="0" applyFont="1" applyFill="1" applyBorder="1" applyAlignment="1">
      <alignment horizontal="center" vertical="center"/>
    </xf>
    <xf numFmtId="164" fontId="24" fillId="25" borderId="23" xfId="0" applyFont="1" applyFill="1" applyBorder="1" applyAlignment="1">
      <alignment horizontal="center" vertical="center"/>
    </xf>
    <xf numFmtId="164" fontId="24" fillId="25" borderId="23" xfId="0" applyFont="1" applyFill="1" applyBorder="1" applyAlignment="1">
      <alignment horizontal="center" vertical="center" wrapText="1"/>
    </xf>
    <xf numFmtId="164" fontId="31" fillId="0" borderId="29" xfId="0" applyFont="1" applyBorder="1" applyAlignment="1">
      <alignment horizontal="center"/>
    </xf>
    <xf numFmtId="164" fontId="31" fillId="0" borderId="30" xfId="0" applyFont="1" applyBorder="1" applyAlignment="1">
      <alignment horizontal="justify"/>
    </xf>
    <xf numFmtId="164" fontId="32" fillId="0" borderId="30" xfId="0" applyFont="1" applyBorder="1" applyAlignment="1">
      <alignment horizontal="center"/>
    </xf>
    <xf numFmtId="165" fontId="32" fillId="0" borderId="23" xfId="0" applyNumberFormat="1" applyFont="1" applyBorder="1" applyAlignment="1">
      <alignment horizontal="center"/>
    </xf>
    <xf numFmtId="164" fontId="24" fillId="25" borderId="23" xfId="0" applyFont="1" applyFill="1" applyBorder="1" applyAlignment="1">
      <alignment horizontal="right" vertical="center"/>
    </xf>
    <xf numFmtId="164" fontId="24" fillId="25" borderId="30" xfId="0" applyFont="1" applyFill="1" applyBorder="1" applyAlignment="1">
      <alignment horizontal="center"/>
    </xf>
    <xf numFmtId="165" fontId="32" fillId="25" borderId="23" xfId="0" applyNumberFormat="1" applyFont="1" applyFill="1" applyBorder="1" applyAlignment="1">
      <alignment horizontal="center"/>
    </xf>
    <xf numFmtId="165" fontId="24" fillId="25" borderId="23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1 1" xfId="51"/>
    <cellStyle name="Título 1 1 1" xfId="52"/>
    <cellStyle name="Título 2" xfId="53"/>
    <cellStyle name="Título 3" xfId="54"/>
    <cellStyle name="Título 4" xfId="55"/>
    <cellStyle name="Título_modelo_planilhas_padrao_vig_e_serv_2008" xfId="56"/>
    <cellStyle name="Ênfase1" xfId="57"/>
    <cellStyle name="Ênfase2" xfId="58"/>
    <cellStyle name="Ênfase3" xfId="59"/>
    <cellStyle name="Ênfase4" xfId="60"/>
    <cellStyle name="Ênfase5" xfId="61"/>
    <cellStyle name="Ênfas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57150</xdr:rowOff>
    </xdr:from>
    <xdr:to>
      <xdr:col>4</xdr:col>
      <xdr:colOff>28575</xdr:colOff>
      <xdr:row>32</xdr:row>
      <xdr:rowOff>47625</xdr:rowOff>
    </xdr:to>
    <xdr:sp fLocksText="0">
      <xdr:nvSpPr>
        <xdr:cNvPr id="1" name="Text 13"/>
        <xdr:cNvSpPr txBox="1">
          <a:spLocks noChangeArrowheads="1"/>
        </xdr:cNvSpPr>
      </xdr:nvSpPr>
      <xdr:spPr>
        <a:xfrm>
          <a:off x="7810500" y="65532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33</xdr:row>
      <xdr:rowOff>85725</xdr:rowOff>
    </xdr:from>
    <xdr:to>
      <xdr:col>9</xdr:col>
      <xdr:colOff>609600</xdr:colOff>
      <xdr:row>34</xdr:row>
      <xdr:rowOff>47625</xdr:rowOff>
    </xdr:to>
    <xdr:sp fLocksText="0">
      <xdr:nvSpPr>
        <xdr:cNvPr id="2" name="Text 14"/>
        <xdr:cNvSpPr txBox="1">
          <a:spLocks noChangeArrowheads="1"/>
        </xdr:cNvSpPr>
      </xdr:nvSpPr>
      <xdr:spPr>
        <a:xfrm>
          <a:off x="17335500" y="6981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4"/>
  <sheetViews>
    <sheetView tabSelected="1" zoomScale="80" zoomScaleNormal="80" zoomScaleSheetLayoutView="100" workbookViewId="0" topLeftCell="A1">
      <selection activeCell="H17" sqref="H17"/>
    </sheetView>
  </sheetViews>
  <sheetFormatPr defaultColWidth="11.421875" defaultRowHeight="12.75"/>
  <cols>
    <col min="1" max="1" width="2.8515625" style="1" customWidth="1"/>
    <col min="2" max="2" width="87.140625" style="1" customWidth="1"/>
    <col min="3" max="3" width="22.140625" style="1" customWidth="1"/>
    <col min="4" max="4" width="5.00390625" style="1" customWidth="1"/>
    <col min="5" max="5" width="40.00390625" style="1" customWidth="1"/>
    <col min="6" max="6" width="20.57421875" style="1" customWidth="1"/>
    <col min="7" max="7" width="26.140625" style="1" customWidth="1"/>
    <col min="8" max="8" width="30.7109375" style="1" customWidth="1"/>
    <col min="9" max="9" width="17.57421875" style="1" customWidth="1"/>
    <col min="10" max="10" width="38.7109375" style="1" customWidth="1"/>
    <col min="11" max="12" width="11.57421875" style="1" customWidth="1"/>
    <col min="13" max="16384" width="11.421875" style="1" customWidth="1"/>
  </cols>
  <sheetData>
    <row r="1" ht="14.25" customHeight="1">
      <c r="K1" s="1" t="s">
        <v>0</v>
      </c>
    </row>
    <row r="2" spans="2:11" ht="15.75" customHeight="1">
      <c r="B2" s="2" t="s">
        <v>1</v>
      </c>
      <c r="C2" s="2"/>
      <c r="E2" s="2" t="s">
        <v>1</v>
      </c>
      <c r="F2" s="2"/>
      <c r="G2" s="2"/>
      <c r="H2" s="2"/>
      <c r="I2" s="2"/>
      <c r="K2" s="1" t="s">
        <v>2</v>
      </c>
    </row>
    <row r="3" spans="2:9" ht="15.75" customHeight="1">
      <c r="B3" s="3" t="s">
        <v>3</v>
      </c>
      <c r="C3" s="3"/>
      <c r="E3" s="4" t="s">
        <v>4</v>
      </c>
      <c r="F3" s="5"/>
      <c r="G3" s="6"/>
      <c r="H3" s="6"/>
      <c r="I3" s="7"/>
    </row>
    <row r="4" spans="2:9" ht="15.75" customHeight="1">
      <c r="B4" s="3" t="s">
        <v>5</v>
      </c>
      <c r="C4" s="3"/>
      <c r="E4" s="8" t="s">
        <v>6</v>
      </c>
      <c r="F4" s="8" t="s">
        <v>7</v>
      </c>
      <c r="G4" s="8"/>
      <c r="H4" s="8"/>
      <c r="I4" s="8" t="s">
        <v>8</v>
      </c>
    </row>
    <row r="5" spans="2:9" ht="15.75" customHeight="1">
      <c r="B5" s="9" t="s">
        <v>9</v>
      </c>
      <c r="C5" s="10">
        <v>0</v>
      </c>
      <c r="E5" s="11" t="s">
        <v>10</v>
      </c>
      <c r="F5" s="12">
        <v>10181.75</v>
      </c>
      <c r="G5" s="12">
        <v>0</v>
      </c>
      <c r="H5" s="12">
        <v>0</v>
      </c>
      <c r="I5" s="13">
        <f>SUM(F5:H5)</f>
        <v>10181.75</v>
      </c>
    </row>
    <row r="6" spans="2:9" ht="15.75" customHeight="1">
      <c r="B6" s="9" t="s">
        <v>11</v>
      </c>
      <c r="C6" s="14">
        <v>0</v>
      </c>
      <c r="E6" s="15" t="s">
        <v>12</v>
      </c>
      <c r="F6" s="16">
        <v>6553.29</v>
      </c>
      <c r="G6" s="16">
        <v>0</v>
      </c>
      <c r="H6" s="16">
        <v>0</v>
      </c>
      <c r="I6" s="17">
        <f>SUM(F6:H6)</f>
        <v>6553.29</v>
      </c>
    </row>
    <row r="7" spans="2:9" ht="15.75" customHeight="1">
      <c r="B7" s="9" t="s">
        <v>13</v>
      </c>
      <c r="C7" s="14">
        <v>0</v>
      </c>
      <c r="E7" s="15" t="s">
        <v>14</v>
      </c>
      <c r="F7" s="16">
        <v>1212.65</v>
      </c>
      <c r="G7" s="16">
        <v>0</v>
      </c>
      <c r="H7" s="16">
        <v>0</v>
      </c>
      <c r="I7" s="17">
        <f>SUM(F7:H7)</f>
        <v>1212.65</v>
      </c>
    </row>
    <row r="8" spans="2:9" ht="15.75" customHeight="1">
      <c r="B8" s="14"/>
      <c r="C8" s="14"/>
      <c r="E8" s="15" t="s">
        <v>15</v>
      </c>
      <c r="F8" s="16">
        <v>1212.65</v>
      </c>
      <c r="G8" s="16">
        <v>0</v>
      </c>
      <c r="H8" s="16">
        <v>0</v>
      </c>
      <c r="I8" s="17">
        <f>SUM(F8:H8)</f>
        <v>1212.65</v>
      </c>
    </row>
    <row r="9" spans="2:9" ht="15.75" customHeight="1">
      <c r="B9" s="18" t="s">
        <v>16</v>
      </c>
      <c r="C9" s="18"/>
      <c r="E9" s="15" t="s">
        <v>17</v>
      </c>
      <c r="F9" s="16">
        <v>43</v>
      </c>
      <c r="G9" s="16">
        <v>0</v>
      </c>
      <c r="H9" s="16">
        <v>0</v>
      </c>
      <c r="I9" s="17">
        <f>SUM(F9:H9)</f>
        <v>43</v>
      </c>
    </row>
    <row r="10" spans="2:11" ht="15.75" customHeight="1">
      <c r="B10" s="19" t="s">
        <v>18</v>
      </c>
      <c r="C10" s="20">
        <v>0</v>
      </c>
      <c r="F10" s="21"/>
      <c r="G10"/>
      <c r="H10" s="21"/>
      <c r="I10" s="21"/>
      <c r="J10" s="21"/>
      <c r="K10" s="21"/>
    </row>
    <row r="11" spans="2:11" ht="15.75" customHeight="1">
      <c r="B11" s="22" t="s">
        <v>19</v>
      </c>
      <c r="C11" s="23">
        <v>0</v>
      </c>
      <c r="E11" s="24" t="s">
        <v>20</v>
      </c>
      <c r="F11" s="25"/>
      <c r="G11" s="26"/>
      <c r="H11" s="26"/>
      <c r="I11" s="27"/>
      <c r="J11" s="28"/>
      <c r="K11" s="29"/>
    </row>
    <row r="12" spans="2:11" ht="15.75" customHeight="1">
      <c r="B12" s="9" t="s">
        <v>21</v>
      </c>
      <c r="C12" s="30">
        <v>0</v>
      </c>
      <c r="E12" s="31" t="s">
        <v>22</v>
      </c>
      <c r="F12" s="6"/>
      <c r="G12" s="29"/>
      <c r="H12" s="29"/>
      <c r="I12" s="32"/>
      <c r="J12" s="33"/>
      <c r="K12" s="29"/>
    </row>
    <row r="13" spans="2:11" ht="15.75" customHeight="1">
      <c r="B13" s="9" t="s">
        <v>23</v>
      </c>
      <c r="C13" s="30">
        <v>0</v>
      </c>
      <c r="E13" s="34" t="s">
        <v>24</v>
      </c>
      <c r="F13" s="35"/>
      <c r="G13" s="35"/>
      <c r="H13" s="35"/>
      <c r="I13" s="36"/>
      <c r="J13" s="28"/>
      <c r="K13" s="29"/>
    </row>
    <row r="14" spans="2:11" ht="15.75" customHeight="1">
      <c r="B14" s="9" t="s">
        <v>25</v>
      </c>
      <c r="C14" s="30">
        <v>0</v>
      </c>
      <c r="E14" s="37" t="s">
        <v>26</v>
      </c>
      <c r="G14" s="21"/>
      <c r="H14" s="21"/>
      <c r="I14" s="21"/>
      <c r="J14" s="21"/>
      <c r="K14" s="21"/>
    </row>
    <row r="15" spans="2:11" ht="15.75" customHeight="1">
      <c r="B15" s="3" t="s">
        <v>27</v>
      </c>
      <c r="C15" s="3"/>
      <c r="E15" s="15" t="s">
        <v>28</v>
      </c>
      <c r="F15" s="16">
        <f>C53</f>
        <v>0</v>
      </c>
      <c r="G15" s="21"/>
      <c r="H15"/>
      <c r="I15" s="21"/>
      <c r="J15" s="21"/>
      <c r="K15"/>
    </row>
    <row r="16" spans="2:11" ht="15.75" customHeight="1">
      <c r="B16" s="19" t="s">
        <v>29</v>
      </c>
      <c r="C16" s="20">
        <v>0</v>
      </c>
      <c r="E16" s="15" t="s">
        <v>30</v>
      </c>
      <c r="F16" s="16">
        <f>C123</f>
        <v>0</v>
      </c>
      <c r="G16"/>
      <c r="H16" s="21"/>
      <c r="I16" s="21"/>
      <c r="J16" s="21"/>
      <c r="K16" s="21"/>
    </row>
    <row r="17" spans="2:11" ht="15.75" customHeight="1">
      <c r="B17" s="38" t="s">
        <v>31</v>
      </c>
      <c r="C17" s="38"/>
      <c r="E17" s="15" t="s">
        <v>32</v>
      </c>
      <c r="F17" s="16">
        <f>C196</f>
        <v>0</v>
      </c>
      <c r="G17"/>
      <c r="H17" s="21"/>
      <c r="I17" s="21"/>
      <c r="J17" s="21"/>
      <c r="K17" s="21"/>
    </row>
    <row r="18" spans="2:3" ht="15.75" customHeight="1">
      <c r="B18" s="19" t="s">
        <v>33</v>
      </c>
      <c r="C18" s="39">
        <v>5</v>
      </c>
    </row>
    <row r="19" spans="2:11" ht="15.75" customHeight="1">
      <c r="B19" s="40"/>
      <c r="C19" s="41"/>
      <c r="E19" s="37" t="s">
        <v>34</v>
      </c>
      <c r="G19" s="21"/>
      <c r="H19" s="21"/>
      <c r="I19" s="21"/>
      <c r="J19" s="21"/>
      <c r="K19"/>
    </row>
    <row r="20" spans="3:11" ht="28.5" customHeight="1">
      <c r="C20" s="42"/>
      <c r="E20" s="1" t="s">
        <v>35</v>
      </c>
      <c r="F20" s="21"/>
      <c r="G20"/>
      <c r="H20" s="21"/>
      <c r="I20" s="21"/>
      <c r="J20" s="21"/>
      <c r="K20" s="21"/>
    </row>
    <row r="21" spans="2:18" s="42" customFormat="1" ht="27">
      <c r="B21" s="43" t="s">
        <v>36</v>
      </c>
      <c r="E21" s="44" t="s">
        <v>37</v>
      </c>
      <c r="F21" s="45" t="s">
        <v>38</v>
      </c>
      <c r="G21" s="45" t="s">
        <v>39</v>
      </c>
      <c r="H21" s="45" t="s">
        <v>40</v>
      </c>
      <c r="I21" s="21"/>
      <c r="J21" s="21"/>
      <c r="K21" s="21"/>
      <c r="L21" s="1"/>
      <c r="M21" s="1"/>
      <c r="N21" s="1"/>
      <c r="O21" s="1"/>
      <c r="P21" s="1"/>
      <c r="Q21" s="1"/>
      <c r="R21" s="1"/>
    </row>
    <row r="22" spans="2:11" s="42" customFormat="1" ht="15.75" customHeight="1">
      <c r="B22" s="43" t="s">
        <v>41</v>
      </c>
      <c r="C22" s="46"/>
      <c r="E22" s="15" t="s">
        <v>42</v>
      </c>
      <c r="F22" s="47"/>
      <c r="G22" s="47"/>
      <c r="H22" s="47"/>
      <c r="I22" s="21"/>
      <c r="J22" s="21"/>
      <c r="K22" s="21"/>
    </row>
    <row r="23" spans="2:11" s="42" customFormat="1" ht="16.5" customHeight="1">
      <c r="B23" s="48"/>
      <c r="C23" s="46" t="s">
        <v>43</v>
      </c>
      <c r="E23" s="49" t="s">
        <v>44</v>
      </c>
      <c r="F23" s="50">
        <f>1/600</f>
        <v>0.0016666666666666668</v>
      </c>
      <c r="G23" s="13">
        <f>F15</f>
        <v>0</v>
      </c>
      <c r="H23" s="50">
        <f>+G23*F23</f>
        <v>0</v>
      </c>
      <c r="I23" s="21"/>
      <c r="J23" s="21"/>
      <c r="K23" s="21"/>
    </row>
    <row r="24" spans="2:11" s="42" customFormat="1" ht="15.75" customHeight="1">
      <c r="B24" s="51" t="s">
        <v>45</v>
      </c>
      <c r="C24" s="51" t="s">
        <v>46</v>
      </c>
      <c r="E24" s="49" t="s">
        <v>30</v>
      </c>
      <c r="F24" s="50">
        <f>1/(600*30)</f>
        <v>5.555555555555556E-05</v>
      </c>
      <c r="G24" s="13">
        <f>F16</f>
        <v>0</v>
      </c>
      <c r="H24" s="50">
        <f>+G24*F24</f>
        <v>0</v>
      </c>
      <c r="I24" s="21"/>
      <c r="J24" s="21"/>
      <c r="K24" s="21"/>
    </row>
    <row r="25" spans="2:11" s="42" customFormat="1" ht="15.75" customHeight="1">
      <c r="B25" s="51"/>
      <c r="C25" s="51"/>
      <c r="E25" s="52"/>
      <c r="F25" s="53" t="s">
        <v>47</v>
      </c>
      <c r="G25" s="53"/>
      <c r="H25" s="54">
        <f>H24+H23</f>
        <v>0</v>
      </c>
      <c r="I25" s="21"/>
      <c r="J25" s="21"/>
      <c r="K25" s="21"/>
    </row>
    <row r="26" spans="2:11" s="42" customFormat="1" ht="15.75" customHeight="1">
      <c r="B26" s="55" t="s">
        <v>48</v>
      </c>
      <c r="C26" s="56"/>
      <c r="E26" s="15" t="s">
        <v>49</v>
      </c>
      <c r="F26" s="47"/>
      <c r="G26" s="47"/>
      <c r="H26" s="57"/>
      <c r="I26" s="21"/>
      <c r="J26" s="21"/>
      <c r="K26" s="21"/>
    </row>
    <row r="27" spans="2:18" s="58" customFormat="1" ht="15.75" customHeight="1">
      <c r="B27" s="59" t="s">
        <v>50</v>
      </c>
      <c r="C27" s="60">
        <f>C5</f>
        <v>0</v>
      </c>
      <c r="E27" s="49" t="s">
        <v>44</v>
      </c>
      <c r="F27" s="61">
        <f>1/1200</f>
        <v>0.0008333333333333334</v>
      </c>
      <c r="G27" s="17">
        <f>G23</f>
        <v>0</v>
      </c>
      <c r="H27" s="61">
        <f>+G27*F27</f>
        <v>0</v>
      </c>
      <c r="I27" s="21"/>
      <c r="J27" s="21"/>
      <c r="K27" s="21"/>
      <c r="L27" s="42"/>
      <c r="M27" s="42"/>
      <c r="N27" s="42"/>
      <c r="O27" s="42"/>
      <c r="P27" s="42"/>
      <c r="Q27" s="42"/>
      <c r="R27" s="42"/>
    </row>
    <row r="28" spans="2:11" s="58" customFormat="1" ht="15.75" customHeight="1">
      <c r="B28" s="59" t="s">
        <v>51</v>
      </c>
      <c r="C28" s="60">
        <f>C5*C6%</f>
        <v>0</v>
      </c>
      <c r="E28" s="49" t="s">
        <v>30</v>
      </c>
      <c r="F28" s="61">
        <f>1/(1200*30)</f>
        <v>2.777777777777778E-05</v>
      </c>
      <c r="G28" s="17">
        <f>+F16</f>
        <v>0</v>
      </c>
      <c r="H28" s="61">
        <f>+G28*F28</f>
        <v>0</v>
      </c>
      <c r="I28" s="21"/>
      <c r="J28" s="21"/>
      <c r="K28" s="21"/>
    </row>
    <row r="29" spans="2:18" s="42" customFormat="1" ht="15.75" customHeight="1">
      <c r="B29" s="62" t="s">
        <v>52</v>
      </c>
      <c r="C29" s="63">
        <f>C5*C7%</f>
        <v>0</v>
      </c>
      <c r="E29" s="52"/>
      <c r="F29" s="53" t="s">
        <v>53</v>
      </c>
      <c r="G29" s="53"/>
      <c r="H29" s="54">
        <f>H28+H27</f>
        <v>0</v>
      </c>
      <c r="I29" s="21"/>
      <c r="J29" s="21"/>
      <c r="K29" s="21"/>
      <c r="L29" s="58"/>
      <c r="M29" s="58"/>
      <c r="N29" s="58"/>
      <c r="O29" s="58"/>
      <c r="P29" s="58"/>
      <c r="Q29" s="58"/>
      <c r="R29" s="58"/>
    </row>
    <row r="30" spans="2:11" s="42" customFormat="1" ht="15.75" customHeight="1">
      <c r="B30" s="62" t="s">
        <v>54</v>
      </c>
      <c r="C30" s="60">
        <f>SUM(C27:C29)*0.7211</f>
        <v>0</v>
      </c>
      <c r="E30" s="15" t="s">
        <v>55</v>
      </c>
      <c r="F30" s="47"/>
      <c r="G30" s="47"/>
      <c r="H30" s="57"/>
      <c r="I30" s="21"/>
      <c r="J30" s="21"/>
      <c r="K30" s="21"/>
    </row>
    <row r="31" spans="2:11" s="42" customFormat="1" ht="15.75" customHeight="1">
      <c r="B31" s="64" t="s">
        <v>56</v>
      </c>
      <c r="C31" s="65">
        <f>SUM(C27:C30)</f>
        <v>0</v>
      </c>
      <c r="E31" s="49" t="s">
        <v>44</v>
      </c>
      <c r="F31" s="61">
        <f>1/330</f>
        <v>0.0030303030303030303</v>
      </c>
      <c r="G31" s="17">
        <f>G27</f>
        <v>0</v>
      </c>
      <c r="H31" s="61">
        <f>+G31*F31</f>
        <v>0</v>
      </c>
      <c r="I31" s="21"/>
      <c r="J31" s="21"/>
      <c r="K31" s="21"/>
    </row>
    <row r="32" spans="2:11" s="42" customFormat="1" ht="15.75" customHeight="1">
      <c r="B32" s="55" t="s">
        <v>57</v>
      </c>
      <c r="C32" s="60"/>
      <c r="E32" s="49" t="s">
        <v>30</v>
      </c>
      <c r="F32" s="61">
        <f>1/(330*30)</f>
        <v>0.00010101010101010101</v>
      </c>
      <c r="G32" s="17">
        <f>F16</f>
        <v>0</v>
      </c>
      <c r="H32" s="61">
        <f>+G32*F32</f>
        <v>0</v>
      </c>
      <c r="I32" s="21"/>
      <c r="J32" s="21"/>
      <c r="K32" s="21"/>
    </row>
    <row r="33" spans="2:11" s="42" customFormat="1" ht="15.75" customHeight="1">
      <c r="B33" s="62" t="s">
        <v>58</v>
      </c>
      <c r="C33" s="60">
        <f>C10</f>
        <v>0</v>
      </c>
      <c r="E33" s="53" t="s">
        <v>59</v>
      </c>
      <c r="F33" s="53"/>
      <c r="G33" s="53"/>
      <c r="H33" s="54">
        <f>H32+H31</f>
        <v>0</v>
      </c>
      <c r="I33" s="21"/>
      <c r="J33" s="21"/>
      <c r="K33" s="21"/>
    </row>
    <row r="34" spans="2:11" s="42" customFormat="1" ht="18" customHeight="1">
      <c r="B34" s="62" t="s">
        <v>60</v>
      </c>
      <c r="C34" s="60">
        <f>($C$11*22)-(C27*0.06)</f>
        <v>0</v>
      </c>
      <c r="E34"/>
      <c r="F34" s="21"/>
      <c r="G34"/>
      <c r="H34" s="21"/>
      <c r="I34"/>
      <c r="J34" s="21"/>
      <c r="K34" s="21"/>
    </row>
    <row r="35" spans="2:11" s="42" customFormat="1" ht="15.75" customHeight="1">
      <c r="B35" s="62" t="s">
        <v>61</v>
      </c>
      <c r="C35" s="60">
        <f>$C$12*22</f>
        <v>0</v>
      </c>
      <c r="E35" s="66" t="s">
        <v>37</v>
      </c>
      <c r="F35" s="66" t="s">
        <v>38</v>
      </c>
      <c r="G35" s="66" t="s">
        <v>62</v>
      </c>
      <c r="H35" s="66" t="s">
        <v>63</v>
      </c>
      <c r="I35" s="66" t="s">
        <v>64</v>
      </c>
      <c r="J35" s="66" t="s">
        <v>65</v>
      </c>
      <c r="K35" s="66" t="s">
        <v>66</v>
      </c>
    </row>
    <row r="36" spans="2:11" s="42" customFormat="1" ht="15.75" customHeight="1">
      <c r="B36" s="62" t="s">
        <v>67</v>
      </c>
      <c r="C36" s="60">
        <f>+C13</f>
        <v>0</v>
      </c>
      <c r="E36" s="66"/>
      <c r="F36" s="66"/>
      <c r="G36" s="66"/>
      <c r="H36" s="66"/>
      <c r="I36" s="66"/>
      <c r="J36" s="66"/>
      <c r="K36" s="66"/>
    </row>
    <row r="37" spans="2:11" s="42" customFormat="1" ht="15.75" customHeight="1">
      <c r="B37" s="62" t="s">
        <v>68</v>
      </c>
      <c r="C37" s="60">
        <f>C14</f>
        <v>0</v>
      </c>
      <c r="D37" s="67"/>
      <c r="E37" s="15" t="s">
        <v>69</v>
      </c>
      <c r="F37" s="68"/>
      <c r="G37" s="68"/>
      <c r="H37" s="68"/>
      <c r="I37" s="68"/>
      <c r="J37" s="68"/>
      <c r="K37" s="68"/>
    </row>
    <row r="38" spans="2:11" s="42" customFormat="1" ht="15.75" customHeight="1">
      <c r="B38" s="64" t="s">
        <v>70</v>
      </c>
      <c r="C38" s="69">
        <f>SUM(C33:C37)</f>
        <v>0</v>
      </c>
      <c r="D38" s="67"/>
      <c r="E38" s="49" t="s">
        <v>44</v>
      </c>
      <c r="F38" s="61">
        <f>1/220</f>
        <v>0.004545454545454545</v>
      </c>
      <c r="G38" s="70">
        <v>16</v>
      </c>
      <c r="H38" s="61">
        <f>1/191.4</f>
        <v>0.00522466039707419</v>
      </c>
      <c r="I38" s="61">
        <f>+F38*H38*G38</f>
        <v>0.0003799753016053956</v>
      </c>
      <c r="J38" s="17">
        <f>+G27</f>
        <v>0</v>
      </c>
      <c r="K38" s="61">
        <f>+J38*I38</f>
        <v>0</v>
      </c>
    </row>
    <row r="39" spans="2:11" s="42" customFormat="1" ht="15.75" customHeight="1">
      <c r="B39" s="55" t="s">
        <v>71</v>
      </c>
      <c r="C39" s="60"/>
      <c r="D39" s="67"/>
      <c r="E39" s="49" t="s">
        <v>30</v>
      </c>
      <c r="F39" s="61">
        <f>1/(220*30)</f>
        <v>0.00015151515151515152</v>
      </c>
      <c r="G39" s="70">
        <v>16</v>
      </c>
      <c r="H39" s="61">
        <f>1/191.4</f>
        <v>0.00522466039707419</v>
      </c>
      <c r="I39" s="61">
        <f>+F39*H39*G39</f>
        <v>1.2665843386846523E-05</v>
      </c>
      <c r="J39" s="17">
        <f>F16</f>
        <v>0</v>
      </c>
      <c r="K39" s="61">
        <f>+J39*I39</f>
        <v>0</v>
      </c>
    </row>
    <row r="40" spans="2:11" s="42" customFormat="1" ht="15.75" customHeight="1">
      <c r="B40" s="62" t="s">
        <v>72</v>
      </c>
      <c r="C40" s="60">
        <f>+C16</f>
        <v>0</v>
      </c>
      <c r="D40" s="67"/>
      <c r="E40" s="71"/>
      <c r="F40" s="72"/>
      <c r="G40" s="52"/>
      <c r="H40" s="72"/>
      <c r="I40" s="72"/>
      <c r="J40" s="73" t="s">
        <v>73</v>
      </c>
      <c r="K40" s="54">
        <f>K39+K38</f>
        <v>0</v>
      </c>
    </row>
    <row r="41" spans="2:11" s="42" customFormat="1" ht="15.75" customHeight="1">
      <c r="B41" s="64" t="s">
        <v>74</v>
      </c>
      <c r="C41" s="69">
        <f>SUM(C40:C40)</f>
        <v>0</v>
      </c>
      <c r="D41" s="67"/>
      <c r="E41" s="15" t="s">
        <v>75</v>
      </c>
      <c r="F41" s="74"/>
      <c r="G41" s="75"/>
      <c r="H41" s="74"/>
      <c r="I41" s="74"/>
      <c r="J41" s="68"/>
      <c r="K41" s="74"/>
    </row>
    <row r="42" spans="2:11" s="42" customFormat="1" ht="15.75" customHeight="1">
      <c r="B42" s="55" t="s">
        <v>76</v>
      </c>
      <c r="C42" s="56"/>
      <c r="E42" s="49" t="s">
        <v>32</v>
      </c>
      <c r="F42" s="61">
        <f>1/110</f>
        <v>0.00909090909090909</v>
      </c>
      <c r="G42" s="70">
        <v>8</v>
      </c>
      <c r="H42" s="61">
        <f>1/(191.4*6)</f>
        <v>0.0008707767328456983</v>
      </c>
      <c r="I42" s="61">
        <f>+F42*H42*G42</f>
        <v>6.33292169342326E-05</v>
      </c>
      <c r="J42" s="17">
        <f>F17</f>
        <v>0</v>
      </c>
      <c r="K42" s="61">
        <f>+J42*I42</f>
        <v>0</v>
      </c>
    </row>
    <row r="43" spans="1:256" s="42" customFormat="1" ht="15.75" customHeight="1">
      <c r="A43" s="76"/>
      <c r="B43" s="62" t="s">
        <v>77</v>
      </c>
      <c r="C43" s="77">
        <f>(SUM($C$31+$C$38+$C$41))*5.31%</f>
        <v>0</v>
      </c>
      <c r="E43" s="49" t="s">
        <v>30</v>
      </c>
      <c r="F43" s="61">
        <f>1/(110*4)</f>
        <v>0.0022727272727272726</v>
      </c>
      <c r="G43" s="70">
        <f>8</f>
        <v>8</v>
      </c>
      <c r="H43" s="61">
        <f>1/(6*191.4)</f>
        <v>0.0008707767328456983</v>
      </c>
      <c r="I43" s="61">
        <f>+F43*H43*G43</f>
        <v>1.583230423355815E-05</v>
      </c>
      <c r="J43" s="17">
        <f>F16</f>
        <v>0</v>
      </c>
      <c r="K43" s="61">
        <f>+J43*I43</f>
        <v>0</v>
      </c>
      <c r="IO43" s="76"/>
      <c r="IP43" s="76"/>
      <c r="IQ43" s="76"/>
      <c r="IR43" s="76"/>
      <c r="IS43" s="76"/>
      <c r="IT43" s="76"/>
      <c r="IU43" s="76"/>
      <c r="IV43" s="76"/>
    </row>
    <row r="44" spans="1:256" s="42" customFormat="1" ht="15.75" customHeight="1">
      <c r="A44" s="76"/>
      <c r="B44" s="62" t="s">
        <v>78</v>
      </c>
      <c r="C44" s="77">
        <f>(SUM($C$31+$C$38+$C$41+$C$43))*7.2%</f>
        <v>0</v>
      </c>
      <c r="E44" s="52"/>
      <c r="F44" s="52"/>
      <c r="G44" s="52"/>
      <c r="H44" s="52"/>
      <c r="I44" s="52"/>
      <c r="J44" s="73" t="s">
        <v>79</v>
      </c>
      <c r="K44" s="54">
        <f>K43+K42</f>
        <v>0</v>
      </c>
      <c r="IO44" s="76"/>
      <c r="IP44" s="76"/>
      <c r="IQ44" s="76"/>
      <c r="IR44" s="76"/>
      <c r="IS44" s="76"/>
      <c r="IT44" s="76"/>
      <c r="IU44" s="76"/>
      <c r="IV44" s="76"/>
    </row>
    <row r="45" spans="1:256" s="42" customFormat="1" ht="15.75" customHeight="1">
      <c r="A45" s="76"/>
      <c r="B45" s="64" t="s">
        <v>80</v>
      </c>
      <c r="C45" s="69">
        <f>SUM(C43:C44)</f>
        <v>0</v>
      </c>
      <c r="E45" s="21"/>
      <c r="F45" s="21"/>
      <c r="G45" s="21"/>
      <c r="H45" s="21"/>
      <c r="I45" s="21"/>
      <c r="J45" s="21"/>
      <c r="K45" s="21"/>
      <c r="IO45" s="76"/>
      <c r="IP45" s="76"/>
      <c r="IQ45" s="76"/>
      <c r="IR45" s="76"/>
      <c r="IS45" s="76"/>
      <c r="IT45" s="76"/>
      <c r="IU45" s="76"/>
      <c r="IV45" s="76"/>
    </row>
    <row r="46" spans="2:11" s="42" customFormat="1" ht="15.75" customHeight="1">
      <c r="B46" s="78" t="s">
        <v>81</v>
      </c>
      <c r="C46" s="60"/>
      <c r="E46" s="37" t="s">
        <v>82</v>
      </c>
      <c r="F46"/>
      <c r="G46"/>
      <c r="H46"/>
      <c r="I46" s="21"/>
      <c r="J46" s="21"/>
      <c r="K46" s="21"/>
    </row>
    <row r="47" spans="2:11" s="42" customFormat="1" ht="15.75" customHeight="1">
      <c r="B47" s="62" t="s">
        <v>83</v>
      </c>
      <c r="C47" s="60">
        <f>C53*0.65%</f>
        <v>0</v>
      </c>
      <c r="E47" s="79" t="s">
        <v>37</v>
      </c>
      <c r="F47" s="80" t="s">
        <v>84</v>
      </c>
      <c r="G47" s="79" t="s">
        <v>85</v>
      </c>
      <c r="H47" s="80" t="s">
        <v>86</v>
      </c>
      <c r="I47" s="21"/>
      <c r="J47" s="21"/>
      <c r="K47" s="21"/>
    </row>
    <row r="48" spans="2:11" s="42" customFormat="1" ht="15.75" customHeight="1">
      <c r="B48" s="62" t="s">
        <v>87</v>
      </c>
      <c r="C48" s="60">
        <f>C53*3%</f>
        <v>0</v>
      </c>
      <c r="D48" s="81" t="s">
        <v>2</v>
      </c>
      <c r="E48" s="79"/>
      <c r="F48" s="80"/>
      <c r="G48" s="79"/>
      <c r="H48" s="80"/>
      <c r="I48" s="21"/>
      <c r="J48" s="21"/>
      <c r="K48" s="21"/>
    </row>
    <row r="49" spans="2:11" s="42" customFormat="1" ht="15.75" customHeight="1">
      <c r="B49" s="82">
        <f>K2&amp;C18&amp;K1</f>
        <v>0</v>
      </c>
      <c r="C49" s="60">
        <f>$C$18%*C53</f>
        <v>0</v>
      </c>
      <c r="D49" s="81" t="s">
        <v>88</v>
      </c>
      <c r="E49" s="11" t="s">
        <v>42</v>
      </c>
      <c r="F49" s="83">
        <f>+H25</f>
        <v>0</v>
      </c>
      <c r="G49" s="84">
        <f>+I5</f>
        <v>10181.75</v>
      </c>
      <c r="H49" s="85">
        <f>+G49*F49</f>
        <v>0</v>
      </c>
      <c r="I49" s="21"/>
      <c r="J49" s="21"/>
      <c r="K49" s="21"/>
    </row>
    <row r="50" spans="2:11" s="42" customFormat="1" ht="15.75" customHeight="1">
      <c r="B50" s="64" t="s">
        <v>89</v>
      </c>
      <c r="C50" s="69">
        <f>SUM(C47:C49)</f>
        <v>0</v>
      </c>
      <c r="D50" s="58"/>
      <c r="E50" s="15" t="s">
        <v>49</v>
      </c>
      <c r="F50" s="83">
        <f>+H29</f>
        <v>0</v>
      </c>
      <c r="G50" s="84">
        <f>+I6</f>
        <v>6553.29</v>
      </c>
      <c r="H50" s="85">
        <f>+G50*F50</f>
        <v>0</v>
      </c>
      <c r="I50" s="21"/>
      <c r="J50" s="21"/>
      <c r="K50" s="21"/>
    </row>
    <row r="51" spans="2:11" s="42" customFormat="1" ht="15.75" customHeight="1">
      <c r="B51" s="64" t="s">
        <v>90</v>
      </c>
      <c r="C51" s="69">
        <f>SUM(C38,C41,C45,C50)</f>
        <v>0</v>
      </c>
      <c r="E51" s="15" t="s">
        <v>69</v>
      </c>
      <c r="F51" s="83">
        <f>+K40</f>
        <v>0</v>
      </c>
      <c r="G51" s="84">
        <f>+I7</f>
        <v>1212.65</v>
      </c>
      <c r="H51" s="85">
        <f>+G51*F51</f>
        <v>0</v>
      </c>
      <c r="I51" s="86"/>
      <c r="J51" s="21"/>
      <c r="K51" s="21"/>
    </row>
    <row r="52" spans="2:11" s="42" customFormat="1" ht="15.75" customHeight="1">
      <c r="B52" s="87"/>
      <c r="C52" s="88"/>
      <c r="E52" s="15" t="s">
        <v>75</v>
      </c>
      <c r="F52" s="83">
        <f>+K44</f>
        <v>0</v>
      </c>
      <c r="G52" s="84">
        <f>+I8</f>
        <v>1212.65</v>
      </c>
      <c r="H52" s="85">
        <f>+G52*F52</f>
        <v>0</v>
      </c>
      <c r="I52" s="21"/>
      <c r="J52" s="21"/>
      <c r="K52" s="21"/>
    </row>
    <row r="53" spans="2:11" s="42" customFormat="1" ht="15.75" customHeight="1">
      <c r="B53" s="62" t="s">
        <v>91</v>
      </c>
      <c r="C53" s="60">
        <f>SUM(C31,C38,C41,C45)/((100-(3.65+$C$18))/100)</f>
        <v>0</v>
      </c>
      <c r="E53" s="15" t="s">
        <v>55</v>
      </c>
      <c r="F53" s="83">
        <f>+H33</f>
        <v>0</v>
      </c>
      <c r="G53" s="84">
        <f>I9</f>
        <v>43</v>
      </c>
      <c r="H53" s="85">
        <f>+G53*F53</f>
        <v>0</v>
      </c>
      <c r="I53" s="21"/>
      <c r="J53" s="21"/>
      <c r="K53" s="21"/>
    </row>
    <row r="54" spans="2:11" s="42" customFormat="1" ht="15.75" customHeight="1">
      <c r="B54" s="78" t="s">
        <v>92</v>
      </c>
      <c r="C54" s="89" t="e">
        <f>C53/(SUM(C27:C29))</f>
        <v>#DIV/0!</v>
      </c>
      <c r="E54" s="8" t="s">
        <v>93</v>
      </c>
      <c r="F54" s="8"/>
      <c r="G54" s="8"/>
      <c r="H54" s="90">
        <f>SUM(H49:H53)</f>
        <v>0</v>
      </c>
      <c r="I54" s="21"/>
      <c r="J54" s="21"/>
      <c r="K54" s="21"/>
    </row>
    <row r="55" spans="2:11" s="42" customFormat="1" ht="14.25">
      <c r="B55" s="91"/>
      <c r="C55" s="91"/>
      <c r="E55" s="8" t="s">
        <v>94</v>
      </c>
      <c r="F55" s="8"/>
      <c r="G55" s="8"/>
      <c r="H55" s="90">
        <f>H54*12</f>
        <v>0</v>
      </c>
      <c r="I55" s="21"/>
      <c r="J55" s="21"/>
      <c r="K55" s="29"/>
    </row>
    <row r="56" spans="2:18" s="92" customFormat="1" ht="15.75" customHeight="1">
      <c r="B56" s="24" t="s">
        <v>95</v>
      </c>
      <c r="C56" s="93"/>
      <c r="D56" s="94"/>
      <c r="E56" s="24" t="s">
        <v>96</v>
      </c>
      <c r="F56" s="26"/>
      <c r="G56" s="26"/>
      <c r="H56" s="26"/>
      <c r="I56" s="26"/>
      <c r="J56" s="95"/>
      <c r="K56" s="29"/>
      <c r="L56" s="42"/>
      <c r="M56" s="42"/>
      <c r="N56" s="42"/>
      <c r="O56" s="42"/>
      <c r="P56" s="42"/>
      <c r="Q56" s="42"/>
      <c r="R56" s="42"/>
    </row>
    <row r="57" spans="2:18" s="94" customFormat="1" ht="15.75" customHeight="1">
      <c r="B57" s="96" t="s">
        <v>97</v>
      </c>
      <c r="C57" s="97"/>
      <c r="D57" s="98"/>
      <c r="E57" s="99" t="s">
        <v>98</v>
      </c>
      <c r="F57" s="5"/>
      <c r="G57" s="5"/>
      <c r="H57" s="100"/>
      <c r="I57" s="100"/>
      <c r="J57" s="101"/>
      <c r="K57" s="29"/>
      <c r="L57" s="92"/>
      <c r="M57" s="92"/>
      <c r="N57" s="92"/>
      <c r="O57" s="92"/>
      <c r="P57" s="92"/>
      <c r="Q57" s="92"/>
      <c r="R57" s="92"/>
    </row>
    <row r="58" spans="2:11" s="94" customFormat="1" ht="15.75" customHeight="1">
      <c r="B58" s="31" t="s">
        <v>99</v>
      </c>
      <c r="C58" s="97"/>
      <c r="D58" s="98"/>
      <c r="E58" s="102" t="s">
        <v>100</v>
      </c>
      <c r="F58" s="100"/>
      <c r="G58" s="100"/>
      <c r="H58" s="100"/>
      <c r="I58" s="100"/>
      <c r="J58" s="101"/>
      <c r="K58" s="29"/>
    </row>
    <row r="59" spans="2:11" s="94" customFormat="1" ht="15.75" customHeight="1">
      <c r="B59" s="102" t="s">
        <v>101</v>
      </c>
      <c r="C59" s="97"/>
      <c r="D59" s="98"/>
      <c r="E59" s="103" t="s">
        <v>102</v>
      </c>
      <c r="F59" s="100"/>
      <c r="G59" s="100"/>
      <c r="H59" s="100"/>
      <c r="I59" s="100"/>
      <c r="J59" s="101"/>
      <c r="K59" s="29"/>
    </row>
    <row r="60" spans="2:11" s="94" customFormat="1" ht="15.75" customHeight="1">
      <c r="B60" s="102" t="s">
        <v>103</v>
      </c>
      <c r="C60" s="97"/>
      <c r="D60" s="98"/>
      <c r="E60" s="102" t="s">
        <v>104</v>
      </c>
      <c r="F60" s="100"/>
      <c r="G60" s="100"/>
      <c r="H60" s="100"/>
      <c r="I60" s="100"/>
      <c r="J60" s="101"/>
      <c r="K60" s="29"/>
    </row>
    <row r="61" spans="2:18" s="42" customFormat="1" ht="15.75" customHeight="1">
      <c r="B61" s="31" t="s">
        <v>105</v>
      </c>
      <c r="C61" s="97"/>
      <c r="D61" s="100"/>
      <c r="E61" s="103" t="s">
        <v>106</v>
      </c>
      <c r="F61" s="100"/>
      <c r="G61" s="100"/>
      <c r="H61" s="100"/>
      <c r="I61" s="29"/>
      <c r="J61" s="32"/>
      <c r="K61" s="29"/>
      <c r="L61" s="94"/>
      <c r="M61" s="94"/>
      <c r="N61" s="94"/>
      <c r="O61" s="94"/>
      <c r="P61" s="94"/>
      <c r="Q61" s="94"/>
      <c r="R61" s="94"/>
    </row>
    <row r="62" spans="2:11" s="42" customFormat="1" ht="15.75" customHeight="1">
      <c r="B62" s="31" t="s">
        <v>107</v>
      </c>
      <c r="C62" s="97"/>
      <c r="D62" s="100"/>
      <c r="E62" s="104" t="s">
        <v>108</v>
      </c>
      <c r="F62" s="105"/>
      <c r="G62" s="105"/>
      <c r="H62" s="105"/>
      <c r="I62" s="105"/>
      <c r="J62" s="106"/>
      <c r="K62" s="29"/>
    </row>
    <row r="63" spans="2:11" s="42" customFormat="1" ht="15.75" customHeight="1">
      <c r="B63" s="102" t="s">
        <v>109</v>
      </c>
      <c r="C63" s="97"/>
      <c r="D63" s="100"/>
      <c r="K63" s="100"/>
    </row>
    <row r="64" spans="2:18" s="94" customFormat="1" ht="15.75" customHeight="1">
      <c r="B64" s="31" t="s">
        <v>110</v>
      </c>
      <c r="C64" s="97"/>
      <c r="D64" s="98"/>
      <c r="J64" s="42"/>
      <c r="K64" s="42"/>
      <c r="L64" s="42"/>
      <c r="M64" s="42"/>
      <c r="N64" s="42"/>
      <c r="O64" s="42"/>
      <c r="P64" s="42"/>
      <c r="Q64" s="42"/>
      <c r="R64" s="42"/>
    </row>
    <row r="65" spans="2:18" s="42" customFormat="1" ht="15.75" customHeight="1">
      <c r="B65" s="102" t="s">
        <v>111</v>
      </c>
      <c r="C65" s="97"/>
      <c r="D65" s="100"/>
      <c r="J65" s="94"/>
      <c r="K65" s="94"/>
      <c r="L65" s="94"/>
      <c r="M65" s="94"/>
      <c r="N65" s="94"/>
      <c r="O65" s="94"/>
      <c r="P65" s="94"/>
      <c r="Q65" s="94"/>
      <c r="R65" s="94"/>
    </row>
    <row r="66" spans="2:4" s="42" customFormat="1" ht="15.75" customHeight="1">
      <c r="B66" s="31" t="s">
        <v>112</v>
      </c>
      <c r="C66" s="97"/>
      <c r="D66" s="100"/>
    </row>
    <row r="67" spans="2:18" s="92" customFormat="1" ht="15.75" customHeight="1">
      <c r="B67" s="31" t="s">
        <v>113</v>
      </c>
      <c r="C67" s="97"/>
      <c r="E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2:5" s="92" customFormat="1" ht="15.75" customHeight="1">
      <c r="B68" s="31" t="s">
        <v>114</v>
      </c>
      <c r="C68" s="97"/>
      <c r="E68" s="42"/>
    </row>
    <row r="69" spans="2:18" s="42" customFormat="1" ht="15.75" customHeight="1">
      <c r="B69" s="96" t="s">
        <v>115</v>
      </c>
      <c r="C69" s="97"/>
      <c r="D69" s="100"/>
      <c r="J69" s="92"/>
      <c r="K69" s="92"/>
      <c r="L69" s="92"/>
      <c r="M69" s="92"/>
      <c r="N69" s="92"/>
      <c r="O69" s="92"/>
      <c r="P69" s="92"/>
      <c r="Q69" s="92"/>
      <c r="R69" s="92"/>
    </row>
    <row r="70" spans="2:4" s="42" customFormat="1" ht="15.75" customHeight="1">
      <c r="B70" s="96" t="s">
        <v>116</v>
      </c>
      <c r="C70" s="97"/>
      <c r="D70" s="100"/>
    </row>
    <row r="71" spans="2:3" s="42" customFormat="1" ht="15.75" customHeight="1">
      <c r="B71" s="107"/>
      <c r="C71" s="108"/>
    </row>
    <row r="72" spans="2:18" ht="14.25">
      <c r="B72" s="42"/>
      <c r="C72" s="42"/>
      <c r="J72" s="42"/>
      <c r="K72" s="42"/>
      <c r="L72" s="42"/>
      <c r="M72" s="42"/>
      <c r="N72" s="42"/>
      <c r="O72" s="42"/>
      <c r="P72" s="42"/>
      <c r="Q72" s="42"/>
      <c r="R72" s="42"/>
    </row>
    <row r="75" spans="2:3" ht="12.75" customHeight="1">
      <c r="B75" s="109" t="s">
        <v>1</v>
      </c>
      <c r="C75" s="109"/>
    </row>
    <row r="76" spans="2:3" ht="14.25">
      <c r="B76" s="110" t="s">
        <v>3</v>
      </c>
      <c r="C76" s="110"/>
    </row>
    <row r="77" spans="2:3" ht="14.25">
      <c r="B77" s="110" t="s">
        <v>5</v>
      </c>
      <c r="C77" s="110"/>
    </row>
    <row r="78" spans="2:3" ht="16.5">
      <c r="B78" s="111" t="s">
        <v>117</v>
      </c>
      <c r="C78" s="112">
        <v>0</v>
      </c>
    </row>
    <row r="79" spans="2:3" ht="15.75">
      <c r="B79" s="111" t="s">
        <v>118</v>
      </c>
      <c r="C79" s="113">
        <v>0</v>
      </c>
    </row>
    <row r="80" spans="2:3" ht="15.75">
      <c r="B80" s="111" t="s">
        <v>119</v>
      </c>
      <c r="C80" s="113">
        <v>0</v>
      </c>
    </row>
    <row r="81" spans="2:3" ht="15.75">
      <c r="B81" s="111" t="s">
        <v>120</v>
      </c>
      <c r="C81" s="113">
        <v>0</v>
      </c>
    </row>
    <row r="82" spans="2:3" ht="14.25">
      <c r="B82" s="114" t="s">
        <v>16</v>
      </c>
      <c r="C82" s="114"/>
    </row>
    <row r="83" spans="2:3" ht="15.75">
      <c r="B83" s="115" t="s">
        <v>121</v>
      </c>
      <c r="C83" s="116">
        <v>0</v>
      </c>
    </row>
    <row r="84" spans="2:3" ht="15.75">
      <c r="B84" s="117" t="s">
        <v>122</v>
      </c>
      <c r="C84" s="118">
        <v>0</v>
      </c>
    </row>
    <row r="85" spans="2:3" ht="15.75">
      <c r="B85" s="111" t="s">
        <v>123</v>
      </c>
      <c r="C85" s="119">
        <v>0</v>
      </c>
    </row>
    <row r="86" spans="2:3" ht="15.75">
      <c r="B86" s="111" t="s">
        <v>124</v>
      </c>
      <c r="C86" s="119">
        <v>0</v>
      </c>
    </row>
    <row r="87" spans="2:3" ht="15.75">
      <c r="B87" s="111" t="s">
        <v>125</v>
      </c>
      <c r="C87" s="119">
        <v>0</v>
      </c>
    </row>
    <row r="88" spans="2:3" ht="15.75" customHeight="1">
      <c r="B88" s="3" t="s">
        <v>27</v>
      </c>
      <c r="C88" s="3"/>
    </row>
    <row r="89" spans="2:3" ht="15.75" customHeight="1">
      <c r="B89" s="115" t="s">
        <v>126</v>
      </c>
      <c r="C89" s="116">
        <v>0</v>
      </c>
    </row>
    <row r="90" spans="2:3" ht="14.25">
      <c r="B90" s="120" t="s">
        <v>31</v>
      </c>
      <c r="C90" s="120"/>
    </row>
    <row r="91" spans="2:3" ht="16.5">
      <c r="B91" s="115" t="s">
        <v>127</v>
      </c>
      <c r="C91" s="121">
        <v>5</v>
      </c>
    </row>
    <row r="92" spans="2:3" ht="14.25">
      <c r="B92" s="122"/>
      <c r="C92" s="123"/>
    </row>
    <row r="93" spans="2:3" ht="14.25">
      <c r="B93" s="124"/>
      <c r="C93" s="125"/>
    </row>
    <row r="94" spans="2:3" ht="17.25">
      <c r="B94" s="126" t="s">
        <v>36</v>
      </c>
      <c r="C94" s="76"/>
    </row>
    <row r="95" spans="2:3" ht="17.25">
      <c r="B95" s="126" t="s">
        <v>128</v>
      </c>
      <c r="C95" s="127" t="s">
        <v>43</v>
      </c>
    </row>
    <row r="96" spans="2:3" ht="17.25">
      <c r="B96" s="126"/>
      <c r="C96" s="127"/>
    </row>
    <row r="97" spans="2:3" ht="12.75" customHeight="1">
      <c r="B97" s="128" t="s">
        <v>45</v>
      </c>
      <c r="C97" s="128" t="s">
        <v>46</v>
      </c>
    </row>
    <row r="98" spans="2:3" ht="14.25">
      <c r="B98" s="128"/>
      <c r="C98" s="128"/>
    </row>
    <row r="99" spans="2:3" ht="15.75">
      <c r="B99" s="129" t="s">
        <v>48</v>
      </c>
      <c r="C99" s="130"/>
    </row>
    <row r="100" spans="2:3" ht="16.5">
      <c r="B100" s="131" t="s">
        <v>50</v>
      </c>
      <c r="C100" s="132">
        <f>C78</f>
        <v>0</v>
      </c>
    </row>
    <row r="101" spans="2:3" ht="16.5">
      <c r="B101" s="131" t="s">
        <v>51</v>
      </c>
      <c r="C101" s="132">
        <f>C78*C80%</f>
        <v>0</v>
      </c>
    </row>
    <row r="102" spans="2:3" ht="16.5">
      <c r="B102" s="133" t="s">
        <v>52</v>
      </c>
      <c r="C102" s="134">
        <f>C78*C80%</f>
        <v>0</v>
      </c>
    </row>
    <row r="103" spans="2:3" ht="16.5">
      <c r="B103" s="135" t="s">
        <v>129</v>
      </c>
      <c r="C103" s="136">
        <f>SUM(C100:C102)*0.7211</f>
        <v>0</v>
      </c>
    </row>
    <row r="104" spans="2:3" ht="16.5">
      <c r="B104" s="137" t="s">
        <v>56</v>
      </c>
      <c r="C104" s="138">
        <f>SUM(C100:C103)</f>
        <v>0</v>
      </c>
    </row>
    <row r="105" spans="2:3" ht="15.75">
      <c r="B105" s="129" t="s">
        <v>57</v>
      </c>
      <c r="C105" s="139"/>
    </row>
    <row r="106" spans="2:3" ht="16.5">
      <c r="B106" s="133" t="s">
        <v>58</v>
      </c>
      <c r="C106" s="132">
        <f>C83</f>
        <v>0</v>
      </c>
    </row>
    <row r="107" spans="2:3" ht="16.5">
      <c r="B107" s="135" t="s">
        <v>60</v>
      </c>
      <c r="C107" s="136">
        <f>($C$84*22)-(C100*0.06)</f>
        <v>0</v>
      </c>
    </row>
    <row r="108" spans="2:3" ht="16.5">
      <c r="B108" s="135" t="s">
        <v>61</v>
      </c>
      <c r="C108" s="140">
        <f>$C$85*22</f>
        <v>0</v>
      </c>
    </row>
    <row r="109" spans="2:3" ht="16.5">
      <c r="B109" s="135" t="s">
        <v>67</v>
      </c>
      <c r="C109" s="136">
        <f>+C86</f>
        <v>0</v>
      </c>
    </row>
    <row r="110" spans="2:3" ht="16.5">
      <c r="B110" s="135" t="s">
        <v>68</v>
      </c>
      <c r="C110" s="136">
        <f>C87</f>
        <v>0</v>
      </c>
    </row>
    <row r="111" spans="2:3" ht="16.5">
      <c r="B111" s="137" t="s">
        <v>70</v>
      </c>
      <c r="C111" s="141">
        <f>SUM(C106:C110)</f>
        <v>0</v>
      </c>
    </row>
    <row r="112" spans="2:3" ht="14.25">
      <c r="B112" s="142" t="s">
        <v>76</v>
      </c>
      <c r="C112" s="143"/>
    </row>
    <row r="113" spans="2:3" ht="16.5">
      <c r="B113" s="135" t="s">
        <v>130</v>
      </c>
      <c r="C113" s="140">
        <f>(SUM($C$104+$C$111))*5.31%</f>
        <v>0</v>
      </c>
    </row>
    <row r="114" spans="2:3" ht="16.5">
      <c r="B114" s="135" t="s">
        <v>131</v>
      </c>
      <c r="C114" s="140">
        <f>(SUM($C$104+$C$111+$C$113))*7.2%</f>
        <v>0</v>
      </c>
    </row>
    <row r="115" spans="2:3" ht="16.5">
      <c r="B115" s="137" t="s">
        <v>80</v>
      </c>
      <c r="C115" s="141">
        <f>SUM(C113:C114)</f>
        <v>0</v>
      </c>
    </row>
    <row r="116" spans="2:3" ht="16.5">
      <c r="B116" s="144" t="s">
        <v>81</v>
      </c>
      <c r="C116" s="145"/>
    </row>
    <row r="117" spans="2:3" ht="16.5">
      <c r="B117" s="135" t="s">
        <v>83</v>
      </c>
      <c r="C117" s="77">
        <f>C123*0.65%</f>
        <v>0</v>
      </c>
    </row>
    <row r="118" spans="2:3" ht="16.5">
      <c r="B118" s="135" t="s">
        <v>87</v>
      </c>
      <c r="C118" s="136">
        <f>C123*3%</f>
        <v>0</v>
      </c>
    </row>
    <row r="119" spans="2:3" ht="16.5">
      <c r="B119" s="135">
        <f>K2&amp;C18&amp;K1</f>
        <v>0</v>
      </c>
      <c r="C119" s="136">
        <f>$C$91%*C123</f>
        <v>0</v>
      </c>
    </row>
    <row r="120" spans="2:3" ht="16.5">
      <c r="B120" s="137" t="s">
        <v>89</v>
      </c>
      <c r="C120" s="146">
        <f>SUM(C117:C119)</f>
        <v>0</v>
      </c>
    </row>
    <row r="121" spans="2:3" ht="13.5" customHeight="1">
      <c r="B121" s="128" t="s">
        <v>90</v>
      </c>
      <c r="C121" s="147">
        <f>SUM(C111,C115,C120)</f>
        <v>0</v>
      </c>
    </row>
    <row r="122" spans="2:3" ht="14.25">
      <c r="B122" s="148"/>
      <c r="C122" s="149"/>
    </row>
    <row r="123" spans="2:3" ht="16.5">
      <c r="B123" s="150" t="s">
        <v>91</v>
      </c>
      <c r="C123" s="151">
        <f>SUM(C104,C111,C115)/((100-(3.65+$C$91))/100)</f>
        <v>0</v>
      </c>
    </row>
    <row r="124" spans="2:3" ht="16.5">
      <c r="B124" s="128" t="s">
        <v>92</v>
      </c>
      <c r="C124" s="147" t="e">
        <f>C123/(SUM(C100:C102))</f>
        <v>#DIV/0!</v>
      </c>
    </row>
    <row r="125" spans="2:3" ht="14.25">
      <c r="B125" s="152"/>
      <c r="C125" s="152"/>
    </row>
    <row r="126" spans="2:3" ht="15.75">
      <c r="B126" s="24" t="s">
        <v>95</v>
      </c>
      <c r="C126" s="93"/>
    </row>
    <row r="127" spans="2:3" ht="14.25">
      <c r="B127" s="96" t="s">
        <v>97</v>
      </c>
      <c r="C127" s="97"/>
    </row>
    <row r="128" spans="2:3" ht="15.75">
      <c r="B128" s="31" t="s">
        <v>99</v>
      </c>
      <c r="C128" s="97"/>
    </row>
    <row r="129" spans="2:3" ht="15.75">
      <c r="B129" s="102" t="s">
        <v>101</v>
      </c>
      <c r="C129" s="97"/>
    </row>
    <row r="130" spans="2:3" ht="15.75">
      <c r="B130" s="102" t="s">
        <v>103</v>
      </c>
      <c r="C130" s="97"/>
    </row>
    <row r="131" spans="2:3" ht="15.75">
      <c r="B131" s="31" t="s">
        <v>105</v>
      </c>
      <c r="C131" s="97"/>
    </row>
    <row r="132" spans="2:3" ht="15.75">
      <c r="B132" s="31" t="s">
        <v>107</v>
      </c>
      <c r="C132" s="97"/>
    </row>
    <row r="133" spans="2:3" ht="15.75">
      <c r="B133" s="102" t="s">
        <v>109</v>
      </c>
      <c r="C133" s="97"/>
    </row>
    <row r="134" spans="2:3" ht="15.75">
      <c r="B134" s="31" t="s">
        <v>110</v>
      </c>
      <c r="C134" s="97"/>
    </row>
    <row r="135" spans="2:3" ht="15.75">
      <c r="B135" s="102" t="s">
        <v>111</v>
      </c>
      <c r="C135" s="97"/>
    </row>
    <row r="136" spans="2:3" ht="15.75">
      <c r="B136" s="31" t="s">
        <v>112</v>
      </c>
      <c r="C136" s="97"/>
    </row>
    <row r="137" spans="2:3" ht="15.75">
      <c r="B137" s="31" t="s">
        <v>113</v>
      </c>
      <c r="C137" s="97"/>
    </row>
    <row r="138" spans="2:3" ht="15.75">
      <c r="B138" s="31" t="s">
        <v>114</v>
      </c>
      <c r="C138" s="97"/>
    </row>
    <row r="139" spans="2:3" ht="14.25">
      <c r="B139" s="96" t="s">
        <v>115</v>
      </c>
      <c r="C139" s="97"/>
    </row>
    <row r="140" spans="2:3" ht="14.25">
      <c r="B140" s="96" t="s">
        <v>116</v>
      </c>
      <c r="C140" s="97"/>
    </row>
    <row r="141" spans="2:3" ht="14.25">
      <c r="B141" s="107"/>
      <c r="C141" s="108"/>
    </row>
    <row r="142" spans="2:3" ht="14.25">
      <c r="B142" s="153"/>
      <c r="C142" s="154"/>
    </row>
    <row r="145" spans="2:3" ht="14.25" customHeight="1">
      <c r="B145" s="2" t="s">
        <v>1</v>
      </c>
      <c r="C145" s="2"/>
    </row>
    <row r="146" spans="2:3" ht="14.25">
      <c r="B146" s="3" t="s">
        <v>3</v>
      </c>
      <c r="C146" s="3"/>
    </row>
    <row r="147" spans="2:3" ht="12.75">
      <c r="B147" s="3" t="s">
        <v>5</v>
      </c>
      <c r="C147" s="3"/>
    </row>
    <row r="148" spans="2:3" ht="12.75">
      <c r="B148" s="9" t="s">
        <v>132</v>
      </c>
      <c r="C148" s="10">
        <v>0</v>
      </c>
    </row>
    <row r="149" spans="2:3" ht="12.75">
      <c r="B149" s="9" t="s">
        <v>11</v>
      </c>
      <c r="C149" s="14">
        <v>0</v>
      </c>
    </row>
    <row r="150" spans="2:3" ht="12.75">
      <c r="B150" s="9" t="s">
        <v>13</v>
      </c>
      <c r="C150" s="14">
        <v>0</v>
      </c>
    </row>
    <row r="151" spans="2:3" ht="12.75">
      <c r="B151" s="14"/>
      <c r="C151" s="14"/>
    </row>
    <row r="152" spans="2:3" ht="12.75">
      <c r="B152" s="18" t="s">
        <v>16</v>
      </c>
      <c r="C152" s="18"/>
    </row>
    <row r="153" spans="2:3" ht="12.75">
      <c r="B153" s="19" t="s">
        <v>18</v>
      </c>
      <c r="C153" s="20">
        <v>0</v>
      </c>
    </row>
    <row r="154" spans="2:3" ht="12.75">
      <c r="B154" s="22" t="s">
        <v>19</v>
      </c>
      <c r="C154" s="23">
        <v>0</v>
      </c>
    </row>
    <row r="155" spans="2:3" ht="12.75">
      <c r="B155" s="9" t="s">
        <v>21</v>
      </c>
      <c r="C155" s="30">
        <v>0</v>
      </c>
    </row>
    <row r="156" spans="2:3" ht="12.75">
      <c r="B156" s="9" t="s">
        <v>23</v>
      </c>
      <c r="C156" s="30">
        <v>0</v>
      </c>
    </row>
    <row r="157" spans="2:3" ht="12.75">
      <c r="B157" s="9" t="s">
        <v>25</v>
      </c>
      <c r="C157" s="30">
        <v>0</v>
      </c>
    </row>
    <row r="158" spans="2:3" ht="12.75">
      <c r="B158" s="3" t="s">
        <v>27</v>
      </c>
      <c r="C158" s="3"/>
    </row>
    <row r="159" spans="2:3" ht="12.75">
      <c r="B159" s="19" t="s">
        <v>29</v>
      </c>
      <c r="C159" s="20">
        <v>0</v>
      </c>
    </row>
    <row r="160" spans="2:3" ht="12.75">
      <c r="B160" s="38" t="s">
        <v>31</v>
      </c>
      <c r="C160" s="38"/>
    </row>
    <row r="161" spans="2:3" ht="12.75">
      <c r="B161" s="19" t="s">
        <v>33</v>
      </c>
      <c r="C161" s="39">
        <v>5</v>
      </c>
    </row>
    <row r="162" spans="2:3" ht="12">
      <c r="B162" s="40"/>
      <c r="C162" s="41"/>
    </row>
    <row r="163" ht="14.25">
      <c r="C163" s="42"/>
    </row>
    <row r="164" spans="2:3" ht="17.25">
      <c r="B164" s="43" t="s">
        <v>36</v>
      </c>
      <c r="C164" s="42"/>
    </row>
    <row r="165" spans="2:3" ht="17.25">
      <c r="B165" s="43" t="s">
        <v>133</v>
      </c>
      <c r="C165" s="46"/>
    </row>
    <row r="166" spans="2:3" ht="17.25">
      <c r="B166" s="48"/>
      <c r="C166" s="46" t="s">
        <v>43</v>
      </c>
    </row>
    <row r="167" spans="2:3" ht="14.25" customHeight="1">
      <c r="B167" s="51" t="s">
        <v>45</v>
      </c>
      <c r="C167" s="51" t="s">
        <v>46</v>
      </c>
    </row>
    <row r="168" spans="2:3" ht="14.25">
      <c r="B168" s="51"/>
      <c r="C168" s="51"/>
    </row>
    <row r="169" spans="2:3" ht="15.75">
      <c r="B169" s="55" t="s">
        <v>48</v>
      </c>
      <c r="C169" s="56"/>
    </row>
    <row r="170" spans="2:3" ht="16.5">
      <c r="B170" s="59" t="s">
        <v>50</v>
      </c>
      <c r="C170" s="60">
        <f>C148</f>
        <v>0</v>
      </c>
    </row>
    <row r="171" spans="2:3" ht="12.75">
      <c r="B171" s="59" t="s">
        <v>51</v>
      </c>
      <c r="C171" s="60">
        <f>C148*C149%</f>
        <v>0</v>
      </c>
    </row>
    <row r="172" spans="2:3" ht="12.75">
      <c r="B172" s="62" t="s">
        <v>52</v>
      </c>
      <c r="C172" s="63">
        <f>C148*C150%</f>
        <v>0</v>
      </c>
    </row>
    <row r="173" spans="2:3" ht="12.75">
      <c r="B173" s="62" t="s">
        <v>54</v>
      </c>
      <c r="C173" s="60">
        <f>SUM(C170:C172)*0.7211</f>
        <v>0</v>
      </c>
    </row>
    <row r="174" spans="2:3" ht="12.75">
      <c r="B174" s="64" t="s">
        <v>56</v>
      </c>
      <c r="C174" s="65">
        <f>SUM(C170:C173)</f>
        <v>0</v>
      </c>
    </row>
    <row r="175" spans="2:3" ht="12.75">
      <c r="B175" s="55" t="s">
        <v>57</v>
      </c>
      <c r="C175" s="60"/>
    </row>
    <row r="176" spans="2:3" ht="16.5">
      <c r="B176" s="62" t="s">
        <v>58</v>
      </c>
      <c r="C176" s="60">
        <f>C153</f>
        <v>0</v>
      </c>
    </row>
    <row r="177" spans="2:3" ht="16.5">
      <c r="B177" s="62" t="s">
        <v>60</v>
      </c>
      <c r="C177" s="60">
        <f>($C$11*22)-(C170*0.06)</f>
        <v>0</v>
      </c>
    </row>
    <row r="178" spans="2:3" ht="16.5">
      <c r="B178" s="62" t="s">
        <v>61</v>
      </c>
      <c r="C178" s="60">
        <f>$C$12*22</f>
        <v>0</v>
      </c>
    </row>
    <row r="179" spans="2:3" ht="16.5">
      <c r="B179" s="62" t="s">
        <v>67</v>
      </c>
      <c r="C179" s="60">
        <f>+C156</f>
        <v>0</v>
      </c>
    </row>
    <row r="180" spans="2:3" ht="16.5">
      <c r="B180" s="62" t="s">
        <v>68</v>
      </c>
      <c r="C180" s="60">
        <f>C157</f>
        <v>0</v>
      </c>
    </row>
    <row r="181" spans="2:3" ht="16.5">
      <c r="B181" s="64" t="s">
        <v>70</v>
      </c>
      <c r="C181" s="69">
        <f>SUM(C176:C180)</f>
        <v>0</v>
      </c>
    </row>
    <row r="182" spans="2:3" ht="14.25">
      <c r="B182" s="55" t="s">
        <v>71</v>
      </c>
      <c r="C182" s="60"/>
    </row>
    <row r="183" spans="2:3" ht="12.75">
      <c r="B183" s="62" t="s">
        <v>72</v>
      </c>
      <c r="C183" s="60">
        <f>+C159</f>
        <v>0</v>
      </c>
    </row>
    <row r="184" spans="2:3" ht="12.75">
      <c r="B184" s="64" t="s">
        <v>74</v>
      </c>
      <c r="C184" s="69">
        <f>SUM(C183:C183)</f>
        <v>0</v>
      </c>
    </row>
    <row r="185" spans="2:3" ht="12.75">
      <c r="B185" s="55" t="s">
        <v>76</v>
      </c>
      <c r="C185" s="56"/>
    </row>
    <row r="186" spans="2:3" ht="25.5">
      <c r="B186" s="62" t="s">
        <v>77</v>
      </c>
      <c r="C186" s="77">
        <f>(SUM($C$31+$C$38+$C$41))*5.31%</f>
        <v>0</v>
      </c>
    </row>
    <row r="187" spans="2:3" ht="12.75">
      <c r="B187" s="62" t="s">
        <v>78</v>
      </c>
      <c r="C187" s="77">
        <f>(SUM($C$31+$C$38+$C$41+$C$43))*7.2%</f>
        <v>0</v>
      </c>
    </row>
    <row r="188" spans="2:3" ht="12.75">
      <c r="B188" s="64" t="s">
        <v>80</v>
      </c>
      <c r="C188" s="69">
        <f>SUM(C186:C187)</f>
        <v>0</v>
      </c>
    </row>
    <row r="189" spans="2:3" ht="12.75">
      <c r="B189" s="78" t="s">
        <v>81</v>
      </c>
      <c r="C189" s="60"/>
    </row>
    <row r="190" spans="2:3" ht="12.75">
      <c r="B190" s="62" t="s">
        <v>83</v>
      </c>
      <c r="C190" s="60">
        <f>C196*0.65%</f>
        <v>0</v>
      </c>
    </row>
    <row r="191" spans="2:3" ht="16.5">
      <c r="B191" s="62" t="s">
        <v>87</v>
      </c>
      <c r="C191" s="60">
        <f>C196*3%</f>
        <v>0</v>
      </c>
    </row>
    <row r="192" spans="2:3" ht="16.5">
      <c r="B192" s="135">
        <f>K2&amp;C18&amp;K1</f>
        <v>0</v>
      </c>
      <c r="C192" s="60">
        <f>$C$18%*C196</f>
        <v>0</v>
      </c>
    </row>
    <row r="193" spans="2:3" ht="16.5">
      <c r="B193" s="64" t="s">
        <v>89</v>
      </c>
      <c r="C193" s="69">
        <f>SUM(C190:C192)</f>
        <v>0</v>
      </c>
    </row>
    <row r="194" spans="2:3" ht="16.5">
      <c r="B194" s="64" t="s">
        <v>90</v>
      </c>
      <c r="C194" s="69">
        <f>SUM(C181,C184,C188,C193)</f>
        <v>0</v>
      </c>
    </row>
    <row r="195" spans="2:3" ht="14.25">
      <c r="B195" s="87"/>
      <c r="C195" s="88"/>
    </row>
    <row r="196" spans="2:3" ht="16.5">
      <c r="B196" s="62" t="s">
        <v>91</v>
      </c>
      <c r="C196" s="60">
        <f>SUM(C174,C181,C184,C188)/((100-(3.65+$C$18))/100)</f>
        <v>0</v>
      </c>
    </row>
    <row r="197" spans="2:3" ht="16.5">
      <c r="B197" s="78" t="s">
        <v>92</v>
      </c>
      <c r="C197" s="89" t="e">
        <f>C196/(SUM(C170:C172))</f>
        <v>#DIV/0!</v>
      </c>
    </row>
    <row r="198" spans="2:3" ht="14.25">
      <c r="B198" s="91"/>
      <c r="C198" s="91"/>
    </row>
    <row r="199" spans="2:3" ht="14.25">
      <c r="B199" s="24" t="s">
        <v>95</v>
      </c>
      <c r="C199" s="93"/>
    </row>
    <row r="200" spans="2:3" ht="14.25">
      <c r="B200" s="96" t="s">
        <v>97</v>
      </c>
      <c r="C200" s="97"/>
    </row>
    <row r="201" spans="2:3" ht="14.25">
      <c r="B201" s="31" t="s">
        <v>99</v>
      </c>
      <c r="C201" s="97"/>
    </row>
    <row r="202" spans="2:3" ht="14.25">
      <c r="B202" s="102" t="s">
        <v>101</v>
      </c>
      <c r="C202" s="97"/>
    </row>
    <row r="203" spans="2:3" ht="14.25">
      <c r="B203" s="102" t="s">
        <v>103</v>
      </c>
      <c r="C203" s="97"/>
    </row>
    <row r="204" spans="2:3" ht="14.25">
      <c r="B204" s="31" t="s">
        <v>105</v>
      </c>
      <c r="C204" s="97"/>
    </row>
    <row r="205" spans="2:3" ht="14.25">
      <c r="B205" s="31" t="s">
        <v>107</v>
      </c>
      <c r="C205" s="97"/>
    </row>
    <row r="206" spans="2:3" ht="14.25">
      <c r="B206" s="102" t="s">
        <v>109</v>
      </c>
      <c r="C206" s="97"/>
    </row>
    <row r="207" spans="2:3" ht="14.25">
      <c r="B207" s="31" t="s">
        <v>110</v>
      </c>
      <c r="C207" s="97"/>
    </row>
    <row r="208" spans="2:3" ht="14.25">
      <c r="B208" s="102" t="s">
        <v>111</v>
      </c>
      <c r="C208" s="97"/>
    </row>
    <row r="209" spans="2:3" ht="14.25">
      <c r="B209" s="31" t="s">
        <v>112</v>
      </c>
      <c r="C209" s="97"/>
    </row>
    <row r="210" spans="2:3" ht="14.25">
      <c r="B210" s="31" t="s">
        <v>113</v>
      </c>
      <c r="C210" s="97"/>
    </row>
    <row r="211" spans="2:3" ht="14.25">
      <c r="B211" s="31" t="s">
        <v>114</v>
      </c>
      <c r="C211" s="97"/>
    </row>
    <row r="212" spans="2:3" ht="14.25">
      <c r="B212" s="96" t="s">
        <v>115</v>
      </c>
      <c r="C212" s="97"/>
    </row>
    <row r="213" spans="2:3" ht="14.25">
      <c r="B213" s="96" t="s">
        <v>116</v>
      </c>
      <c r="C213" s="97"/>
    </row>
    <row r="214" spans="2:3" ht="14.25">
      <c r="B214" s="107"/>
      <c r="C214" s="108"/>
    </row>
  </sheetData>
  <sheetProtection selectLockedCells="1" selectUnlockedCells="1"/>
  <mergeCells count="43">
    <mergeCell ref="B2:C2"/>
    <mergeCell ref="E2:I2"/>
    <mergeCell ref="B3:C3"/>
    <mergeCell ref="B4:C4"/>
    <mergeCell ref="B8:C8"/>
    <mergeCell ref="B9:C9"/>
    <mergeCell ref="B15:C15"/>
    <mergeCell ref="B17:C17"/>
    <mergeCell ref="B24:B25"/>
    <mergeCell ref="C24:C25"/>
    <mergeCell ref="F25:G25"/>
    <mergeCell ref="F29:G29"/>
    <mergeCell ref="E33:G33"/>
    <mergeCell ref="E35:E36"/>
    <mergeCell ref="F35:F36"/>
    <mergeCell ref="G35:G36"/>
    <mergeCell ref="H35:H36"/>
    <mergeCell ref="I35:I36"/>
    <mergeCell ref="J35:J36"/>
    <mergeCell ref="K35:K36"/>
    <mergeCell ref="E47:E48"/>
    <mergeCell ref="F47:F48"/>
    <mergeCell ref="G47:G48"/>
    <mergeCell ref="H47:H48"/>
    <mergeCell ref="E54:G54"/>
    <mergeCell ref="E55:G55"/>
    <mergeCell ref="B75:C75"/>
    <mergeCell ref="B76:C76"/>
    <mergeCell ref="B77:C77"/>
    <mergeCell ref="B82:C82"/>
    <mergeCell ref="B88:C88"/>
    <mergeCell ref="B90:C90"/>
    <mergeCell ref="B97:B98"/>
    <mergeCell ref="C97:C98"/>
    <mergeCell ref="B145:C145"/>
    <mergeCell ref="B146:C146"/>
    <mergeCell ref="B147:C147"/>
    <mergeCell ref="B151:C151"/>
    <mergeCell ref="B152:C152"/>
    <mergeCell ref="B158:C158"/>
    <mergeCell ref="B160:C160"/>
    <mergeCell ref="B167:B168"/>
    <mergeCell ref="C167:C168"/>
  </mergeCells>
  <printOptions/>
  <pageMargins left="0.7875" right="0.7875" top="1.0527777777777778" bottom="1.0527777777777778" header="0.7875" footer="0.7875"/>
  <pageSetup horizontalDpi="300" verticalDpi="300" orientation="portrait" paperSize="9" scale="48"/>
  <headerFooter alignWithMargins="0">
    <oddHeader>&amp;C&amp;"Times New Roman,Normal"&amp;12&amp;A</oddHeader>
    <oddFooter>&amp;C&amp;"Times New Roman,Normal"&amp;12Página &amp;P</oddFooter>
  </headerFooter>
  <rowBreaks count="2" manualBreakCount="2">
    <brk id="71" max="255" man="1"/>
    <brk id="142" max="255" man="1"/>
  </rowBreaks>
  <colBreaks count="1" manualBreakCount="1">
    <brk id="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G11"/>
  <sheetViews>
    <sheetView zoomScale="80" zoomScaleNormal="80" zoomScaleSheetLayoutView="100" workbookViewId="0" topLeftCell="A1">
      <pane ySplit="65535" topLeftCell="A1" activePane="topLeft" state="split"/>
      <selection pane="topLeft" activeCell="F16" sqref="F16"/>
      <selection pane="bottomLeft" activeCell="A1" sqref="A1"/>
    </sheetView>
  </sheetViews>
  <sheetFormatPr defaultColWidth="12.57421875" defaultRowHeight="12.75"/>
  <cols>
    <col min="1" max="1" width="19.8515625" style="155" customWidth="1"/>
    <col min="2" max="3" width="11.57421875" style="155" customWidth="1"/>
    <col min="4" max="4" width="30.8515625" style="155" customWidth="1"/>
    <col min="5" max="5" width="15.28125" style="155" customWidth="1"/>
    <col min="6" max="6" width="20.7109375" style="155" customWidth="1"/>
    <col min="7" max="7" width="21.7109375" style="155" customWidth="1"/>
    <col min="8" max="16384" width="11.57421875" style="155" customWidth="1"/>
  </cols>
  <sheetData>
    <row r="6" spans="2:7" s="156" customFormat="1" ht="31.5">
      <c r="B6" s="157" t="s">
        <v>134</v>
      </c>
      <c r="C6" s="158" t="s">
        <v>135</v>
      </c>
      <c r="D6" s="158"/>
      <c r="E6" s="159" t="s">
        <v>136</v>
      </c>
      <c r="F6" s="159" t="s">
        <v>137</v>
      </c>
      <c r="G6" s="159" t="s">
        <v>138</v>
      </c>
    </row>
    <row r="7" spans="2:7" ht="17.25">
      <c r="B7" s="160">
        <v>1</v>
      </c>
      <c r="C7" s="161" t="s">
        <v>139</v>
      </c>
      <c r="D7" s="161"/>
      <c r="E7" s="162">
        <v>1</v>
      </c>
      <c r="F7" s="163">
        <f>'Servente-Encarregado-Jauzeiro'!C123</f>
        <v>0</v>
      </c>
      <c r="G7" s="163">
        <f>F7*E7</f>
        <v>0</v>
      </c>
    </row>
    <row r="8" spans="2:7" ht="17.25" customHeight="1">
      <c r="B8" s="160">
        <v>2</v>
      </c>
      <c r="C8" s="161" t="s">
        <v>140</v>
      </c>
      <c r="D8" s="161"/>
      <c r="E8" s="162">
        <v>23</v>
      </c>
      <c r="F8" s="163">
        <f>'Servente-Encarregado-Jauzeiro'!C53</f>
        <v>0</v>
      </c>
      <c r="G8" s="163">
        <f>F8*E8</f>
        <v>0</v>
      </c>
    </row>
    <row r="9" spans="2:7" ht="17.25">
      <c r="B9" s="160">
        <v>3</v>
      </c>
      <c r="C9" s="161" t="s">
        <v>141</v>
      </c>
      <c r="D9" s="161"/>
      <c r="E9" s="162">
        <v>1</v>
      </c>
      <c r="F9" s="163">
        <f>'Servente-Encarregado-Jauzeiro'!C196</f>
        <v>0</v>
      </c>
      <c r="G9" s="163">
        <f>F9*E9</f>
        <v>0</v>
      </c>
    </row>
    <row r="10" spans="2:7" ht="17.25" customHeight="1">
      <c r="B10" s="164" t="s">
        <v>142</v>
      </c>
      <c r="C10" s="164"/>
      <c r="D10" s="164"/>
      <c r="E10" s="165">
        <f>SUM(E7:E9)</f>
        <v>25</v>
      </c>
      <c r="F10" s="166" t="s">
        <v>143</v>
      </c>
      <c r="G10" s="167">
        <f>SUM(G7:G9)</f>
        <v>0</v>
      </c>
    </row>
    <row r="11" spans="2:7" ht="17.25" customHeight="1">
      <c r="B11" s="164" t="s">
        <v>144</v>
      </c>
      <c r="C11" s="164"/>
      <c r="D11" s="164"/>
      <c r="E11" s="165" t="s">
        <v>143</v>
      </c>
      <c r="F11" s="166" t="s">
        <v>143</v>
      </c>
      <c r="G11" s="167">
        <f>G10*12</f>
        <v>0</v>
      </c>
    </row>
  </sheetData>
  <sheetProtection selectLockedCells="1" selectUnlockedCells="1"/>
  <mergeCells count="6">
    <mergeCell ref="C6:D6"/>
    <mergeCell ref="C7:D7"/>
    <mergeCell ref="C8:D8"/>
    <mergeCell ref="C9:D9"/>
    <mergeCell ref="B10:D10"/>
    <mergeCell ref="B11:D11"/>
  </mergeCells>
  <printOptions/>
  <pageMargins left="0.7875" right="0.7875" top="1.0527777777777778" bottom="1.0527777777777778" header="0.7875" footer="0.7875"/>
  <pageSetup horizontalDpi="300" verticalDpi="300" orientation="portrait" paperSize="9" scale="6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2013-11-28T17:38:03Z</cp:lastPrinted>
  <dcterms:modified xsi:type="dcterms:W3CDTF">2014-06-11T16:18:42Z</dcterms:modified>
  <cp:category/>
  <cp:version/>
  <cp:contentType/>
  <cp:contentStatus/>
  <cp:revision>49</cp:revision>
</cp:coreProperties>
</file>